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067"/>
  <workbookPr defaultThemeVersion="166925"/>
  <mc:AlternateContent xmlns:mc="http://schemas.openxmlformats.org/markup-compatibility/2006">
    <mc:Choice Requires="x15">
      <x15ac:absPath xmlns:x15ac="http://schemas.microsoft.com/office/spreadsheetml/2010/11/ac" url="C:\Users\Philip\Documents\GS New\Live Future Ready Related\"/>
    </mc:Choice>
  </mc:AlternateContent>
  <bookViews>
    <workbookView xWindow="0" yWindow="0" windowWidth="28800" windowHeight="11610"/>
  </bookViews>
  <sheets>
    <sheet name="Notes" sheetId="10" r:id="rId1"/>
    <sheet name="For Exercise 1" sheetId="26" r:id="rId2"/>
    <sheet name="For Exercise 2" sheetId="27" r:id="rId3"/>
    <sheet name="2-Minute Summary" sheetId="24" r:id="rId4"/>
    <sheet name="The 3 Questions" sheetId="25" r:id="rId5"/>
    <sheet name="Forecast - Summary IS by Qtr" sheetId="19" r:id="rId6"/>
    <sheet name="Forecast - Summary BS by Qtr" sheetId="20" r:id="rId7"/>
    <sheet name="Forecast - Summary CF by Qtr" sheetId="21" r:id="rId8"/>
    <sheet name="Forecast - Summary CF Drivers" sheetId="23" r:id="rId9"/>
    <sheet name="Forecast - Summary Assumptions" sheetId="22" r:id="rId10"/>
    <sheet name="Actual - Summary IS by Qtr" sheetId="15" r:id="rId11"/>
    <sheet name="Actual - Summary BS by Qtr" sheetId="17" r:id="rId12"/>
    <sheet name="Actual - Summary CF by Qtr" sheetId="18" r:id="rId13"/>
    <sheet name="Actual - Summary Assumptions" sheetId="16" r:id="rId14"/>
    <sheet name="CF Summary by Year" sheetId="14" r:id="rId15"/>
    <sheet name="CF Summary by Qtr" sheetId="13" r:id="rId16"/>
    <sheet name="CF by Qtr" sheetId="12" r:id="rId17"/>
    <sheet name="BS by Qtr" sheetId="11" r:id="rId18"/>
    <sheet name="IS by Qtr" sheetId="4" r:id="rId19"/>
    <sheet name="Assumptions" sheetId="6" r:id="rId20"/>
    <sheet name="Store info by Qtr" sheetId="5" r:id="rId21"/>
    <sheet name="IS by Qtr copy" sheetId="7" r:id="rId22"/>
    <sheet name="Assumptions copy" sheetId="8" r:id="rId23"/>
    <sheet name="Last three years" sheetId="2" r:id="rId24"/>
    <sheet name="Comp stores by year" sheetId="9" r:id="rId25"/>
  </sheets>
  <definedNames>
    <definedName name="_xlnm.Print_Area" localSheetId="9">'Forecast - Summary Assumptions'!$A$1:$N$74</definedName>
    <definedName name="_xlnm.Print_Area" localSheetId="6">'Forecast - Summary BS by Qtr'!$A$1:$T$35</definedName>
    <definedName name="_xlnm.Print_Area" localSheetId="7">'Forecast - Summary CF by Qtr'!$A$1:$R$46</definedName>
    <definedName name="_xlnm.Print_Area" localSheetId="5">'Forecast - Summary IS by Qtr'!$A$1:$S$25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0" i="27" l="1"/>
  <c r="P38" i="27"/>
  <c r="P36" i="27"/>
  <c r="P34" i="27"/>
  <c r="P32" i="27"/>
  <c r="P30" i="27"/>
  <c r="P22" i="27"/>
  <c r="R22" i="27"/>
  <c r="Q22" i="27"/>
  <c r="R20" i="27"/>
  <c r="Q20" i="27"/>
  <c r="P20" i="27"/>
  <c r="R18" i="27"/>
  <c r="Q18" i="27"/>
  <c r="P18" i="27"/>
  <c r="R16" i="27"/>
  <c r="Q16" i="27"/>
  <c r="P16" i="27"/>
  <c r="R14" i="27"/>
  <c r="Q14" i="27"/>
  <c r="P14" i="27"/>
  <c r="R12" i="27"/>
  <c r="Q12" i="27"/>
  <c r="P12" i="27"/>
  <c r="R38" i="26" l="1"/>
  <c r="Q38" i="26"/>
  <c r="R36" i="26"/>
  <c r="Q36" i="26"/>
  <c r="R34" i="26"/>
  <c r="Q34" i="26"/>
  <c r="R32" i="26"/>
  <c r="Q32" i="26"/>
  <c r="R30" i="26"/>
  <c r="Q30" i="26"/>
  <c r="R28" i="26"/>
  <c r="Q28" i="26"/>
  <c r="R20" i="26"/>
  <c r="Q20" i="26"/>
  <c r="S20" i="26"/>
  <c r="P20" i="26"/>
  <c r="K53" i="6"/>
  <c r="K50" i="6"/>
  <c r="K51" i="6" s="1"/>
  <c r="K49" i="6"/>
  <c r="K46" i="6"/>
  <c r="K47" i="6" s="1"/>
  <c r="K43" i="6"/>
  <c r="K40" i="6"/>
  <c r="K41" i="6" s="1"/>
  <c r="K38" i="6"/>
  <c r="K37" i="6"/>
  <c r="K33" i="6"/>
  <c r="K35" i="6" s="1"/>
  <c r="K30" i="6"/>
  <c r="K31" i="6" s="1"/>
  <c r="K27" i="6"/>
  <c r="K28" i="6" s="1"/>
  <c r="K25" i="6"/>
  <c r="K24" i="6"/>
  <c r="K21" i="6"/>
  <c r="K22" i="6" s="1"/>
  <c r="K19" i="6"/>
  <c r="K18" i="6"/>
  <c r="K54" i="6" s="1"/>
  <c r="K16" i="6"/>
  <c r="K17" i="6" s="1"/>
  <c r="S18" i="26"/>
  <c r="R18" i="26"/>
  <c r="Q18" i="26"/>
  <c r="P18" i="26"/>
  <c r="S16" i="26"/>
  <c r="R16" i="26"/>
  <c r="Q16" i="26"/>
  <c r="P16" i="26"/>
  <c r="S14" i="26"/>
  <c r="R14" i="26"/>
  <c r="Q14" i="26"/>
  <c r="P14" i="26"/>
  <c r="S12" i="26"/>
  <c r="R12" i="26"/>
  <c r="Q12" i="26"/>
  <c r="P12" i="26"/>
  <c r="S10" i="26"/>
  <c r="R10" i="26"/>
  <c r="Q10" i="26"/>
  <c r="P10" i="26"/>
  <c r="AB53" i="22"/>
  <c r="R31" i="23"/>
  <c r="I31" i="23"/>
  <c r="H31" i="23"/>
  <c r="G31" i="23"/>
  <c r="F31" i="23"/>
  <c r="AA53" i="22"/>
  <c r="X58" i="22"/>
  <c r="X53" i="22"/>
  <c r="X49" i="22"/>
  <c r="X45" i="22"/>
  <c r="X40" i="22"/>
  <c r="K34" i="6" l="1"/>
  <c r="X21" i="22"/>
  <c r="X23" i="22"/>
  <c r="X24" i="22" s="1"/>
  <c r="X17" i="22"/>
  <c r="X14" i="22"/>
  <c r="X11" i="22"/>
  <c r="X20" i="22"/>
  <c r="X41" i="22" l="1"/>
  <c r="X42" i="22" s="1"/>
  <c r="X59" i="22"/>
  <c r="X46" i="22"/>
  <c r="E20" i="27"/>
  <c r="E18" i="27"/>
  <c r="E16" i="27"/>
  <c r="E14" i="27"/>
  <c r="F20" i="27"/>
  <c r="F18" i="27"/>
  <c r="F16" i="27"/>
  <c r="F14" i="27"/>
  <c r="G20" i="27"/>
  <c r="G18" i="27"/>
  <c r="G16" i="27"/>
  <c r="G14" i="27"/>
  <c r="G12" i="27"/>
  <c r="F12" i="27"/>
  <c r="E12" i="27"/>
  <c r="E38" i="27"/>
  <c r="E36" i="27"/>
  <c r="E34" i="27"/>
  <c r="E32" i="27"/>
  <c r="E30" i="27"/>
  <c r="N55" i="22"/>
  <c r="M55" i="22"/>
  <c r="L55" i="22"/>
  <c r="J55" i="22"/>
  <c r="I55" i="22"/>
  <c r="H55" i="22"/>
  <c r="G55" i="22"/>
  <c r="F55" i="22"/>
  <c r="G36" i="26"/>
  <c r="F36" i="26"/>
  <c r="G34" i="26"/>
  <c r="F34" i="26"/>
  <c r="G32" i="26"/>
  <c r="F32" i="26"/>
  <c r="G30" i="26"/>
  <c r="F30" i="26"/>
  <c r="G28" i="26"/>
  <c r="F28" i="26"/>
  <c r="Q45" i="21"/>
  <c r="Q44" i="21"/>
  <c r="Q41" i="21"/>
  <c r="J45" i="18"/>
  <c r="J44" i="18"/>
  <c r="J41" i="18"/>
  <c r="H18" i="26" l="1"/>
  <c r="G18" i="26"/>
  <c r="F18" i="26"/>
  <c r="E18" i="26"/>
  <c r="H16" i="26"/>
  <c r="G16" i="26"/>
  <c r="F16" i="26"/>
  <c r="E16" i="26"/>
  <c r="H14" i="26"/>
  <c r="G14" i="26"/>
  <c r="F14" i="26"/>
  <c r="E14" i="26"/>
  <c r="H12" i="26"/>
  <c r="G12" i="26"/>
  <c r="F12" i="26"/>
  <c r="E12" i="26"/>
  <c r="H10" i="26"/>
  <c r="G10" i="26"/>
  <c r="F10" i="26"/>
  <c r="E10" i="26"/>
  <c r="Y42" i="23"/>
  <c r="Y21" i="23" l="1"/>
  <c r="Y13" i="23"/>
  <c r="Y36" i="23" s="1"/>
  <c r="Y14" i="23"/>
  <c r="Y15" i="23"/>
  <c r="Y16" i="23"/>
  <c r="Y37" i="23" s="1"/>
  <c r="Y17" i="23"/>
  <c r="Y12" i="23"/>
  <c r="Y35" i="23" s="1"/>
  <c r="Y10" i="23"/>
  <c r="Y33" i="23" s="1"/>
  <c r="H21" i="14"/>
  <c r="H13" i="14"/>
  <c r="H14" i="14"/>
  <c r="H15" i="14"/>
  <c r="H16" i="14"/>
  <c r="H12" i="14"/>
  <c r="H10" i="14"/>
  <c r="C17" i="14"/>
  <c r="C16" i="14"/>
  <c r="C15" i="14"/>
  <c r="C14" i="14"/>
  <c r="C13" i="14"/>
  <c r="C12" i="14"/>
  <c r="B17" i="14"/>
  <c r="B16" i="14"/>
  <c r="B15" i="14"/>
  <c r="B14" i="14"/>
  <c r="B13" i="14"/>
  <c r="B12" i="14"/>
  <c r="C22" i="14"/>
  <c r="B22" i="14"/>
  <c r="Y38" i="23" l="1"/>
  <c r="Y40" i="23" s="1"/>
  <c r="Y19" i="23"/>
  <c r="H17" i="14"/>
  <c r="H19" i="14" s="1"/>
  <c r="J35" i="18"/>
  <c r="J30" i="18"/>
  <c r="J26" i="18"/>
  <c r="J25" i="18"/>
  <c r="J27" i="18" s="1"/>
  <c r="J22" i="18"/>
  <c r="J21" i="18"/>
  <c r="J23" i="18" s="1"/>
  <c r="J16" i="18"/>
  <c r="J15" i="18"/>
  <c r="J14" i="18"/>
  <c r="J13" i="18"/>
  <c r="J12" i="18"/>
  <c r="J11" i="18"/>
  <c r="J10" i="18"/>
  <c r="J22" i="13"/>
  <c r="J16" i="13"/>
  <c r="J15" i="13"/>
  <c r="J14" i="13"/>
  <c r="J13" i="13"/>
  <c r="J12" i="13"/>
  <c r="J10" i="13"/>
  <c r="J44" i="12"/>
  <c r="J36" i="12"/>
  <c r="J32" i="12"/>
  <c r="K45" i="11"/>
  <c r="K42" i="11"/>
  <c r="K43" i="11" s="1"/>
  <c r="K35" i="11"/>
  <c r="K23" i="11"/>
  <c r="J17" i="18" l="1"/>
  <c r="J19" i="18" s="1"/>
  <c r="J29" i="18" s="1"/>
  <c r="J32" i="18" s="1"/>
  <c r="J17" i="13"/>
  <c r="J19" i="13"/>
  <c r="J46" i="12"/>
  <c r="R17" i="23"/>
  <c r="R16" i="23"/>
  <c r="R15" i="23"/>
  <c r="R14" i="23"/>
  <c r="R13" i="23"/>
  <c r="R12" i="23"/>
  <c r="R10" i="23"/>
  <c r="Q30" i="21"/>
  <c r="Q26" i="21"/>
  <c r="Q25" i="21"/>
  <c r="Q22" i="21"/>
  <c r="Q21" i="21"/>
  <c r="Q17" i="21"/>
  <c r="Q16" i="21"/>
  <c r="Q15" i="21"/>
  <c r="Q14" i="21"/>
  <c r="Q13" i="21"/>
  <c r="Q12" i="21"/>
  <c r="Q11" i="21"/>
  <c r="Q10" i="21"/>
  <c r="P26" i="21"/>
  <c r="P22" i="21"/>
  <c r="P17" i="21"/>
  <c r="K34" i="17"/>
  <c r="K28" i="17"/>
  <c r="K25" i="17"/>
  <c r="K24" i="17"/>
  <c r="S24" i="20" s="1"/>
  <c r="K22" i="17"/>
  <c r="K17" i="17"/>
  <c r="S17" i="20" s="1"/>
  <c r="K15" i="17"/>
  <c r="S15" i="20" s="1"/>
  <c r="K11" i="17"/>
  <c r="K12" i="17" s="1"/>
  <c r="K10" i="17"/>
  <c r="S28" i="20"/>
  <c r="S25" i="20"/>
  <c r="R17" i="20"/>
  <c r="S11" i="20"/>
  <c r="S10" i="20"/>
  <c r="J15" i="15"/>
  <c r="R15" i="19" s="1"/>
  <c r="J14" i="15"/>
  <c r="R14" i="19" s="1"/>
  <c r="J13" i="15"/>
  <c r="R13" i="19" s="1"/>
  <c r="J12" i="15"/>
  <c r="R12" i="19" s="1"/>
  <c r="J10" i="15"/>
  <c r="R10" i="19" s="1"/>
  <c r="I24" i="23"/>
  <c r="H24" i="23"/>
  <c r="G24" i="23"/>
  <c r="F24" i="23"/>
  <c r="M16" i="23"/>
  <c r="L16" i="23"/>
  <c r="K16" i="23"/>
  <c r="J16" i="23"/>
  <c r="Q16" i="23" s="1"/>
  <c r="I35" i="21"/>
  <c r="H35" i="21"/>
  <c r="G35" i="21"/>
  <c r="F35" i="21"/>
  <c r="I24" i="19"/>
  <c r="H24" i="19"/>
  <c r="G24" i="19"/>
  <c r="F24" i="19"/>
  <c r="J69" i="22"/>
  <c r="I69" i="22"/>
  <c r="H69" i="22"/>
  <c r="G69" i="22"/>
  <c r="J61" i="22"/>
  <c r="I61" i="22"/>
  <c r="H61" i="22"/>
  <c r="G61" i="22"/>
  <c r="J58" i="22"/>
  <c r="I58" i="22"/>
  <c r="H58" i="22"/>
  <c r="G58" i="22"/>
  <c r="J53" i="22"/>
  <c r="I53" i="22"/>
  <c r="H53" i="22"/>
  <c r="G53" i="22"/>
  <c r="J48" i="22"/>
  <c r="I48" i="22"/>
  <c r="H48" i="22"/>
  <c r="G48" i="22"/>
  <c r="J45" i="22"/>
  <c r="I45" i="22"/>
  <c r="H45" i="22"/>
  <c r="G45" i="22"/>
  <c r="J40" i="22"/>
  <c r="I40" i="22"/>
  <c r="H40" i="22"/>
  <c r="G40" i="22"/>
  <c r="J16" i="22"/>
  <c r="I16" i="22"/>
  <c r="H16" i="22"/>
  <c r="G16" i="22"/>
  <c r="J11" i="22"/>
  <c r="I11" i="22"/>
  <c r="H11" i="22"/>
  <c r="G11" i="22"/>
  <c r="N51" i="22"/>
  <c r="M51" i="22"/>
  <c r="L51" i="22"/>
  <c r="N28" i="22"/>
  <c r="M15" i="19" s="1"/>
  <c r="M28" i="22"/>
  <c r="L15" i="19" s="1"/>
  <c r="L28" i="22"/>
  <c r="K28" i="22"/>
  <c r="J15" i="19" s="1"/>
  <c r="N17" i="22"/>
  <c r="N58" i="22" s="1"/>
  <c r="N24" i="20" s="1"/>
  <c r="M17" i="22"/>
  <c r="M58" i="22" s="1"/>
  <c r="M24" i="20" s="1"/>
  <c r="L17" i="22"/>
  <c r="L58" i="22" s="1"/>
  <c r="L24" i="20" s="1"/>
  <c r="K17" i="22"/>
  <c r="K20" i="22" s="1"/>
  <c r="N15" i="22"/>
  <c r="M15" i="22"/>
  <c r="L15" i="22"/>
  <c r="M27" i="19"/>
  <c r="L27" i="19"/>
  <c r="K27" i="19"/>
  <c r="K15" i="19"/>
  <c r="M14" i="19"/>
  <c r="L14" i="19"/>
  <c r="K14" i="19"/>
  <c r="J14" i="19"/>
  <c r="J12" i="21" s="1"/>
  <c r="P12" i="21" s="1"/>
  <c r="M36" i="21"/>
  <c r="L36" i="21"/>
  <c r="K36" i="21"/>
  <c r="J36" i="21"/>
  <c r="M30" i="21"/>
  <c r="M10" i="23" s="1"/>
  <c r="L30" i="21"/>
  <c r="L10" i="23" s="1"/>
  <c r="K30" i="21"/>
  <c r="K10" i="23" s="1"/>
  <c r="J30" i="21"/>
  <c r="J10" i="23" s="1"/>
  <c r="Q10" i="23" s="1"/>
  <c r="M25" i="21"/>
  <c r="M27" i="21" s="1"/>
  <c r="L25" i="21"/>
  <c r="L27" i="21" s="1"/>
  <c r="K25" i="21"/>
  <c r="K27" i="21" s="1"/>
  <c r="J25" i="21"/>
  <c r="J27" i="21" s="1"/>
  <c r="L12" i="21"/>
  <c r="K12" i="21"/>
  <c r="L11" i="21"/>
  <c r="L13" i="23" s="1"/>
  <c r="K11" i="21"/>
  <c r="K13" i="23" s="1"/>
  <c r="L10" i="21"/>
  <c r="L12" i="23" s="1"/>
  <c r="K10" i="21"/>
  <c r="K12" i="23" s="1"/>
  <c r="N34" i="20"/>
  <c r="M34" i="20"/>
  <c r="L34" i="20"/>
  <c r="K34" i="20"/>
  <c r="K25" i="20"/>
  <c r="L25" i="20" s="1"/>
  <c r="M25" i="20" s="1"/>
  <c r="N25" i="20" s="1"/>
  <c r="K17" i="20"/>
  <c r="L17" i="20" s="1"/>
  <c r="M17" i="20" s="1"/>
  <c r="N17" i="20" s="1"/>
  <c r="M10" i="20"/>
  <c r="L10" i="20"/>
  <c r="Q14" i="19" l="1"/>
  <c r="R25" i="20"/>
  <c r="J11" i="21"/>
  <c r="P11" i="21" s="1"/>
  <c r="Q15" i="19"/>
  <c r="P30" i="21"/>
  <c r="P25" i="21"/>
  <c r="K26" i="17"/>
  <c r="K30" i="17" s="1"/>
  <c r="S22" i="20"/>
  <c r="K13" i="17"/>
  <c r="K19" i="17" s="1"/>
  <c r="S12" i="20"/>
  <c r="J16" i="15"/>
  <c r="J17" i="15" s="1"/>
  <c r="M10" i="19"/>
  <c r="N41" i="22" s="1"/>
  <c r="N40" i="22" s="1"/>
  <c r="N11" i="20" s="1"/>
  <c r="L10" i="19"/>
  <c r="M41" i="22" s="1"/>
  <c r="M40" i="22" s="1"/>
  <c r="M11" i="20" s="1"/>
  <c r="K10" i="19"/>
  <c r="J21" i="21"/>
  <c r="M21" i="21"/>
  <c r="M23" i="21" s="1"/>
  <c r="M15" i="23" s="1"/>
  <c r="L21" i="21"/>
  <c r="L23" i="21" s="1"/>
  <c r="L15" i="23" s="1"/>
  <c r="L16" i="21"/>
  <c r="K21" i="21"/>
  <c r="K23" i="21" s="1"/>
  <c r="K15" i="23" s="1"/>
  <c r="K58" i="22"/>
  <c r="K24" i="20" s="1"/>
  <c r="R24" i="20" s="1"/>
  <c r="K23" i="22"/>
  <c r="J13" i="19" s="1"/>
  <c r="Q13" i="19" s="1"/>
  <c r="K45" i="22"/>
  <c r="K12" i="20" s="1"/>
  <c r="R12" i="20" s="1"/>
  <c r="J10" i="19"/>
  <c r="M16" i="21"/>
  <c r="L20" i="22"/>
  <c r="L23" i="22"/>
  <c r="K13" i="19" s="1"/>
  <c r="L41" i="22"/>
  <c r="L40" i="22" s="1"/>
  <c r="L11" i="20" s="1"/>
  <c r="L45" i="22"/>
  <c r="L12" i="20" s="1"/>
  <c r="M20" i="22"/>
  <c r="M23" i="22"/>
  <c r="L13" i="19" s="1"/>
  <c r="M45" i="22"/>
  <c r="M12" i="20" s="1"/>
  <c r="N20" i="22"/>
  <c r="N23" i="22"/>
  <c r="M13" i="19" s="1"/>
  <c r="N45" i="22"/>
  <c r="N12" i="20" s="1"/>
  <c r="M31" i="22" l="1"/>
  <c r="M32" i="22" s="1"/>
  <c r="L18" i="19" s="1"/>
  <c r="J13" i="23"/>
  <c r="Q13" i="23" s="1"/>
  <c r="K33" i="17"/>
  <c r="J23" i="21"/>
  <c r="J15" i="23" s="1"/>
  <c r="Q15" i="23" s="1"/>
  <c r="P21" i="21"/>
  <c r="K51" i="22"/>
  <c r="K48" i="22"/>
  <c r="K41" i="22"/>
  <c r="Q10" i="19"/>
  <c r="L14" i="21"/>
  <c r="L13" i="21"/>
  <c r="L13" i="20"/>
  <c r="L53" i="22"/>
  <c r="K12" i="19"/>
  <c r="K16" i="19" s="1"/>
  <c r="K17" i="19" s="1"/>
  <c r="J12" i="19"/>
  <c r="M14" i="21"/>
  <c r="M13" i="20"/>
  <c r="N53" i="22"/>
  <c r="M12" i="19"/>
  <c r="M16" i="19" s="1"/>
  <c r="M17" i="19" s="1"/>
  <c r="M53" i="22"/>
  <c r="L12" i="19"/>
  <c r="L16" i="19" s="1"/>
  <c r="L17" i="19" s="1"/>
  <c r="N31" i="22"/>
  <c r="N32" i="22" s="1"/>
  <c r="M18" i="19" s="1"/>
  <c r="M13" i="21"/>
  <c r="L31" i="22"/>
  <c r="L32" i="22" s="1"/>
  <c r="K18" i="19" s="1"/>
  <c r="K31" i="22"/>
  <c r="J14" i="21"/>
  <c r="P14" i="21" s="1"/>
  <c r="K14" i="21"/>
  <c r="J16" i="21"/>
  <c r="P16" i="21" s="1"/>
  <c r="K16" i="21"/>
  <c r="Q27" i="21"/>
  <c r="Q23" i="21"/>
  <c r="S34" i="20"/>
  <c r="S26" i="20"/>
  <c r="R24" i="23"/>
  <c r="E24" i="23"/>
  <c r="D24" i="23"/>
  <c r="C24" i="23"/>
  <c r="B24" i="23"/>
  <c r="I16" i="23"/>
  <c r="H16" i="23"/>
  <c r="G16" i="23"/>
  <c r="F16" i="23"/>
  <c r="E16" i="23"/>
  <c r="D16" i="23"/>
  <c r="C16" i="23"/>
  <c r="B16" i="23"/>
  <c r="K40" i="22" l="1"/>
  <c r="K11" i="20" s="1"/>
  <c r="R11" i="20" s="1"/>
  <c r="K55" i="22"/>
  <c r="K53" i="22" s="1"/>
  <c r="L20" i="19"/>
  <c r="L25" i="19" s="1"/>
  <c r="L22" i="20"/>
  <c r="L26" i="20" s="1"/>
  <c r="L54" i="22"/>
  <c r="M22" i="20"/>
  <c r="L15" i="21" s="1"/>
  <c r="M54" i="22"/>
  <c r="N22" i="20"/>
  <c r="N26" i="20" s="1"/>
  <c r="N54" i="22"/>
  <c r="K15" i="20"/>
  <c r="R15" i="20" s="1"/>
  <c r="L48" i="22"/>
  <c r="J16" i="19"/>
  <c r="J17" i="19" s="1"/>
  <c r="Q12" i="19"/>
  <c r="K32" i="22"/>
  <c r="J18" i="19" s="1"/>
  <c r="Q18" i="19" s="1"/>
  <c r="M20" i="19"/>
  <c r="M25" i="19" s="1"/>
  <c r="K20" i="19"/>
  <c r="K25" i="19" s="1"/>
  <c r="R16" i="19"/>
  <c r="R17" i="19" s="1"/>
  <c r="R17" i="21"/>
  <c r="R22" i="21"/>
  <c r="R26" i="21"/>
  <c r="S30" i="20"/>
  <c r="Q19" i="21"/>
  <c r="Q29" i="21" s="1"/>
  <c r="Q32" i="21" s="1"/>
  <c r="S13" i="20"/>
  <c r="S19" i="20" s="1"/>
  <c r="G22" i="20"/>
  <c r="Q36" i="21"/>
  <c r="F25" i="21"/>
  <c r="R25" i="21" s="1"/>
  <c r="R27" i="21" s="1"/>
  <c r="G24" i="20"/>
  <c r="J13" i="21" l="1"/>
  <c r="P13" i="21" s="1"/>
  <c r="K13" i="21"/>
  <c r="M26" i="20"/>
  <c r="M15" i="21"/>
  <c r="M14" i="23" s="1"/>
  <c r="S33" i="20"/>
  <c r="L15" i="20"/>
  <c r="L19" i="20" s="1"/>
  <c r="M48" i="22"/>
  <c r="J20" i="19"/>
  <c r="J10" i="21" s="1"/>
  <c r="P10" i="21" s="1"/>
  <c r="K66" i="22"/>
  <c r="L19" i="21"/>
  <c r="L29" i="21" s="1"/>
  <c r="L32" i="21" s="1"/>
  <c r="L21" i="23" s="1"/>
  <c r="L14" i="23"/>
  <c r="P27" i="21"/>
  <c r="T24" i="20"/>
  <c r="G12" i="20"/>
  <c r="T12" i="20" s="1"/>
  <c r="F69" i="22"/>
  <c r="E69" i="22"/>
  <c r="D69" i="22"/>
  <c r="C69" i="22"/>
  <c r="B69" i="22"/>
  <c r="F61" i="22"/>
  <c r="E61" i="22"/>
  <c r="D61" i="22"/>
  <c r="C61" i="22"/>
  <c r="B61" i="22"/>
  <c r="F58" i="22"/>
  <c r="E58" i="22"/>
  <c r="D58" i="22"/>
  <c r="C58" i="22"/>
  <c r="B58" i="22"/>
  <c r="F53" i="22"/>
  <c r="E53" i="22"/>
  <c r="D53" i="22"/>
  <c r="C53" i="22"/>
  <c r="B53" i="22"/>
  <c r="F48" i="22"/>
  <c r="E48" i="22"/>
  <c r="D48" i="22"/>
  <c r="C48" i="22"/>
  <c r="B48" i="22"/>
  <c r="F45" i="22"/>
  <c r="E45" i="22"/>
  <c r="D45" i="22"/>
  <c r="C45" i="22"/>
  <c r="F40" i="22"/>
  <c r="E40" i="22"/>
  <c r="D40" i="22"/>
  <c r="C40" i="22"/>
  <c r="B40" i="22"/>
  <c r="F16" i="22"/>
  <c r="E16" i="22"/>
  <c r="D16" i="22"/>
  <c r="C16" i="22"/>
  <c r="F11" i="22"/>
  <c r="E11" i="22"/>
  <c r="D11" i="22"/>
  <c r="C11" i="22"/>
  <c r="B11" i="22"/>
  <c r="H46" i="21"/>
  <c r="U45" i="21"/>
  <c r="T45" i="21"/>
  <c r="U44" i="21"/>
  <c r="T44" i="21"/>
  <c r="U41" i="21"/>
  <c r="T41" i="21"/>
  <c r="E35" i="21"/>
  <c r="D35" i="21"/>
  <c r="C35" i="21"/>
  <c r="B35" i="21"/>
  <c r="I30" i="21"/>
  <c r="I10" i="23" s="1"/>
  <c r="H30" i="21"/>
  <c r="H10" i="23" s="1"/>
  <c r="G30" i="21"/>
  <c r="G10" i="23" s="1"/>
  <c r="F30" i="21"/>
  <c r="E30" i="21"/>
  <c r="E10" i="23" s="1"/>
  <c r="D30" i="21"/>
  <c r="D10" i="23" s="1"/>
  <c r="C30" i="21"/>
  <c r="C10" i="23" s="1"/>
  <c r="B30" i="21"/>
  <c r="I26" i="21"/>
  <c r="H26" i="21"/>
  <c r="G26" i="21"/>
  <c r="E26" i="21"/>
  <c r="D26" i="21"/>
  <c r="C26" i="21"/>
  <c r="B26" i="21"/>
  <c r="I25" i="21"/>
  <c r="H25" i="21"/>
  <c r="H27" i="21" s="1"/>
  <c r="G25" i="21"/>
  <c r="G27" i="21" s="1"/>
  <c r="F27" i="21"/>
  <c r="E25" i="21"/>
  <c r="E27" i="21" s="1"/>
  <c r="D25" i="21"/>
  <c r="D27" i="21" s="1"/>
  <c r="C25" i="21"/>
  <c r="C27" i="21" s="1"/>
  <c r="B25" i="21"/>
  <c r="B27" i="21" s="1"/>
  <c r="U24" i="21"/>
  <c r="T24" i="21"/>
  <c r="I22" i="21"/>
  <c r="H22" i="21"/>
  <c r="G22" i="21"/>
  <c r="E22" i="21"/>
  <c r="D22" i="21"/>
  <c r="C22" i="21"/>
  <c r="B22" i="21"/>
  <c r="I21" i="21"/>
  <c r="I23" i="21" s="1"/>
  <c r="I15" i="23" s="1"/>
  <c r="H21" i="21"/>
  <c r="H23" i="21" s="1"/>
  <c r="H15" i="23" s="1"/>
  <c r="G21" i="21"/>
  <c r="E21" i="21"/>
  <c r="D21" i="21"/>
  <c r="D23" i="21" s="1"/>
  <c r="D15" i="23" s="1"/>
  <c r="C21" i="21"/>
  <c r="C23" i="21" s="1"/>
  <c r="C15" i="23" s="1"/>
  <c r="B21" i="21"/>
  <c r="U20" i="21"/>
  <c r="T20" i="21"/>
  <c r="I16" i="21"/>
  <c r="H16" i="21"/>
  <c r="G16" i="21"/>
  <c r="E16" i="21"/>
  <c r="D16" i="21"/>
  <c r="C16" i="21"/>
  <c r="B16" i="21"/>
  <c r="I15" i="21"/>
  <c r="I14" i="23" s="1"/>
  <c r="H15" i="21"/>
  <c r="H14" i="23" s="1"/>
  <c r="G15" i="21"/>
  <c r="G14" i="23" s="1"/>
  <c r="E15" i="21"/>
  <c r="E14" i="23" s="1"/>
  <c r="D15" i="21"/>
  <c r="D14" i="23" s="1"/>
  <c r="C15" i="21"/>
  <c r="C14" i="23" s="1"/>
  <c r="B15" i="21"/>
  <c r="I14" i="21"/>
  <c r="H14" i="21"/>
  <c r="G14" i="21"/>
  <c r="E14" i="21"/>
  <c r="D14" i="21"/>
  <c r="C14" i="21"/>
  <c r="B14" i="21"/>
  <c r="I13" i="21"/>
  <c r="H13" i="21"/>
  <c r="G13" i="21"/>
  <c r="E13" i="21"/>
  <c r="D13" i="21"/>
  <c r="C13" i="21"/>
  <c r="B13" i="21"/>
  <c r="I12" i="21"/>
  <c r="H12" i="21"/>
  <c r="G12" i="21"/>
  <c r="E12" i="21"/>
  <c r="D12" i="21"/>
  <c r="C12" i="21"/>
  <c r="B12" i="21"/>
  <c r="I11" i="21"/>
  <c r="I13" i="23" s="1"/>
  <c r="H11" i="21"/>
  <c r="H13" i="23" s="1"/>
  <c r="G11" i="21"/>
  <c r="E11" i="21"/>
  <c r="E13" i="23" s="1"/>
  <c r="D11" i="21"/>
  <c r="D13" i="23" s="1"/>
  <c r="C11" i="21"/>
  <c r="B11" i="21"/>
  <c r="I10" i="21"/>
  <c r="H10" i="21"/>
  <c r="H12" i="23" s="1"/>
  <c r="G10" i="21"/>
  <c r="E10" i="21"/>
  <c r="D10" i="21"/>
  <c r="D12" i="23" s="1"/>
  <c r="C10" i="21"/>
  <c r="B10" i="21"/>
  <c r="C39" i="20"/>
  <c r="J34" i="20"/>
  <c r="I34" i="20"/>
  <c r="H34" i="20"/>
  <c r="G34" i="20"/>
  <c r="F34" i="20"/>
  <c r="E34" i="20"/>
  <c r="D34" i="20"/>
  <c r="C34" i="20"/>
  <c r="B34" i="20"/>
  <c r="J28" i="20"/>
  <c r="I28" i="20"/>
  <c r="H28" i="20"/>
  <c r="F28" i="20"/>
  <c r="E28" i="20"/>
  <c r="D28" i="20"/>
  <c r="C28" i="20"/>
  <c r="B28" i="20"/>
  <c r="J25" i="20"/>
  <c r="I25" i="20"/>
  <c r="H25" i="20"/>
  <c r="F25" i="20"/>
  <c r="G25" i="20" s="1"/>
  <c r="T25" i="20" s="1"/>
  <c r="E25" i="20"/>
  <c r="D25" i="20"/>
  <c r="C25" i="20"/>
  <c r="B25" i="20"/>
  <c r="J24" i="20"/>
  <c r="I24" i="20"/>
  <c r="H24" i="20"/>
  <c r="F24" i="20"/>
  <c r="F16" i="21" s="1"/>
  <c r="R16" i="21" s="1"/>
  <c r="E24" i="20"/>
  <c r="D24" i="20"/>
  <c r="C24" i="20"/>
  <c r="B24" i="20"/>
  <c r="J22" i="20"/>
  <c r="J26" i="20" s="1"/>
  <c r="J30" i="20" s="1"/>
  <c r="I22" i="20"/>
  <c r="I26" i="20" s="1"/>
  <c r="I30" i="20" s="1"/>
  <c r="H22" i="20"/>
  <c r="H26" i="20" s="1"/>
  <c r="F22" i="20"/>
  <c r="E22" i="20"/>
  <c r="E26" i="20" s="1"/>
  <c r="E30" i="20" s="1"/>
  <c r="D22" i="20"/>
  <c r="D26" i="20" s="1"/>
  <c r="D30" i="20" s="1"/>
  <c r="C22" i="20"/>
  <c r="C26" i="20" s="1"/>
  <c r="C30" i="20" s="1"/>
  <c r="B22" i="20"/>
  <c r="B26" i="20" s="1"/>
  <c r="B30" i="20" s="1"/>
  <c r="J17" i="20"/>
  <c r="I17" i="20"/>
  <c r="H17" i="20"/>
  <c r="F17" i="20"/>
  <c r="G17" i="20" s="1"/>
  <c r="T17" i="20" s="1"/>
  <c r="E17" i="20"/>
  <c r="D17" i="20"/>
  <c r="C17" i="20"/>
  <c r="B17" i="20"/>
  <c r="J15" i="20"/>
  <c r="I15" i="20"/>
  <c r="H15" i="20"/>
  <c r="F15" i="20"/>
  <c r="E15" i="20"/>
  <c r="D15" i="20"/>
  <c r="C15" i="20"/>
  <c r="C41" i="20" s="1"/>
  <c r="B15" i="20"/>
  <c r="C38" i="20" s="1"/>
  <c r="J11" i="20"/>
  <c r="J12" i="20" s="1"/>
  <c r="I11" i="20"/>
  <c r="I12" i="20" s="1"/>
  <c r="H11" i="20"/>
  <c r="H12" i="20" s="1"/>
  <c r="F11" i="20"/>
  <c r="F12" i="20" s="1"/>
  <c r="E11" i="20"/>
  <c r="E12" i="20" s="1"/>
  <c r="D11" i="20"/>
  <c r="D12" i="20" s="1"/>
  <c r="C11" i="20"/>
  <c r="C12" i="20" s="1"/>
  <c r="B11" i="20"/>
  <c r="B12" i="20" s="1"/>
  <c r="J10" i="20"/>
  <c r="I10" i="20"/>
  <c r="I13" i="20" s="1"/>
  <c r="I19" i="20" s="1"/>
  <c r="I33" i="20" s="1"/>
  <c r="H10" i="20"/>
  <c r="F10" i="20"/>
  <c r="E10" i="20"/>
  <c r="E13" i="20" s="1"/>
  <c r="D10" i="20"/>
  <c r="C10" i="20"/>
  <c r="B10" i="20"/>
  <c r="E24" i="19"/>
  <c r="D24" i="19"/>
  <c r="C24" i="19"/>
  <c r="B24" i="19"/>
  <c r="E18" i="19"/>
  <c r="D18" i="19"/>
  <c r="C18" i="19"/>
  <c r="B18" i="19"/>
  <c r="E15" i="19"/>
  <c r="D15" i="19"/>
  <c r="C15" i="19"/>
  <c r="B15" i="19"/>
  <c r="E14" i="19"/>
  <c r="D14" i="19"/>
  <c r="C14" i="19"/>
  <c r="B14" i="19"/>
  <c r="E13" i="19"/>
  <c r="D13" i="19"/>
  <c r="C13" i="19"/>
  <c r="B13" i="19"/>
  <c r="E12" i="19"/>
  <c r="D12" i="19"/>
  <c r="C12" i="19"/>
  <c r="B12" i="19"/>
  <c r="E10" i="19"/>
  <c r="D10" i="19"/>
  <c r="C10" i="19"/>
  <c r="B10" i="19"/>
  <c r="J62" i="16"/>
  <c r="I62" i="16"/>
  <c r="H62" i="16"/>
  <c r="G62" i="16"/>
  <c r="F62" i="16"/>
  <c r="E62" i="16"/>
  <c r="D62" i="16"/>
  <c r="C62" i="16"/>
  <c r="B62" i="16"/>
  <c r="J16" i="16"/>
  <c r="I16" i="16"/>
  <c r="H16" i="16"/>
  <c r="G16" i="16"/>
  <c r="F16" i="16"/>
  <c r="E16" i="16"/>
  <c r="D16" i="16"/>
  <c r="C16" i="16"/>
  <c r="I26" i="18"/>
  <c r="H26" i="18"/>
  <c r="G26" i="18"/>
  <c r="F26" i="18"/>
  <c r="E26" i="18"/>
  <c r="D26" i="18"/>
  <c r="C26" i="18"/>
  <c r="I25" i="18"/>
  <c r="I27" i="18" s="1"/>
  <c r="H25" i="18"/>
  <c r="G25" i="18"/>
  <c r="G27" i="18" s="1"/>
  <c r="F25" i="18"/>
  <c r="E25" i="18"/>
  <c r="E27" i="18" s="1"/>
  <c r="D25" i="18"/>
  <c r="C25" i="18"/>
  <c r="C27" i="18" s="1"/>
  <c r="I22" i="18"/>
  <c r="H22" i="18"/>
  <c r="G22" i="18"/>
  <c r="F22" i="18"/>
  <c r="E22" i="18"/>
  <c r="D22" i="18"/>
  <c r="C22" i="18"/>
  <c r="I21" i="18"/>
  <c r="I23" i="18" s="1"/>
  <c r="H21" i="18"/>
  <c r="G21" i="18"/>
  <c r="G23" i="18" s="1"/>
  <c r="F21" i="18"/>
  <c r="E21" i="18"/>
  <c r="E23" i="18" s="1"/>
  <c r="D21" i="18"/>
  <c r="C21" i="18"/>
  <c r="C23" i="18" s="1"/>
  <c r="I16" i="18"/>
  <c r="H16" i="18"/>
  <c r="G16" i="18"/>
  <c r="F16" i="18"/>
  <c r="E16" i="18"/>
  <c r="D16" i="18"/>
  <c r="C16" i="18"/>
  <c r="I15" i="18"/>
  <c r="H15" i="18"/>
  <c r="G15" i="18"/>
  <c r="F15" i="18"/>
  <c r="E15" i="18"/>
  <c r="D15" i="18"/>
  <c r="C15" i="18"/>
  <c r="I14" i="18"/>
  <c r="H14" i="18"/>
  <c r="G14" i="18"/>
  <c r="F14" i="18"/>
  <c r="E14" i="18"/>
  <c r="D14" i="18"/>
  <c r="C14" i="18"/>
  <c r="I13" i="18"/>
  <c r="H13" i="18"/>
  <c r="G13" i="18"/>
  <c r="F13" i="18"/>
  <c r="E13" i="18"/>
  <c r="D13" i="18"/>
  <c r="C13" i="18"/>
  <c r="I12" i="18"/>
  <c r="H12" i="18"/>
  <c r="G12" i="18"/>
  <c r="F12" i="18"/>
  <c r="E12" i="18"/>
  <c r="D12" i="18"/>
  <c r="C12" i="18"/>
  <c r="I11" i="18"/>
  <c r="H11" i="18"/>
  <c r="G11" i="18"/>
  <c r="F11" i="18"/>
  <c r="E11" i="18"/>
  <c r="D11" i="18"/>
  <c r="C11" i="18"/>
  <c r="I10" i="18"/>
  <c r="H10" i="18"/>
  <c r="G10" i="18"/>
  <c r="F10" i="18"/>
  <c r="E10" i="18"/>
  <c r="D10" i="18"/>
  <c r="C10" i="18"/>
  <c r="B26" i="18"/>
  <c r="B22" i="18"/>
  <c r="B21" i="18"/>
  <c r="B14" i="18"/>
  <c r="B16" i="18"/>
  <c r="B15" i="18"/>
  <c r="B25" i="18"/>
  <c r="B13" i="18"/>
  <c r="L17" i="23" l="1"/>
  <c r="T12" i="21"/>
  <c r="T16" i="21"/>
  <c r="E23" i="21"/>
  <c r="E15" i="23" s="1"/>
  <c r="T22" i="21"/>
  <c r="U22" i="21"/>
  <c r="I27" i="21"/>
  <c r="U26" i="21"/>
  <c r="N48" i="22"/>
  <c r="N15" i="20" s="1"/>
  <c r="M15" i="20"/>
  <c r="M19" i="20" s="1"/>
  <c r="K67" i="22"/>
  <c r="K73" i="22"/>
  <c r="K28" i="20"/>
  <c r="L28" i="20" s="1"/>
  <c r="M7" i="24"/>
  <c r="J30" i="19"/>
  <c r="N7" i="24" s="1"/>
  <c r="J31" i="19"/>
  <c r="O7" i="24" s="1"/>
  <c r="J25" i="19"/>
  <c r="L19" i="23"/>
  <c r="J12" i="23"/>
  <c r="Q12" i="23" s="1"/>
  <c r="S12" i="19"/>
  <c r="G11" i="20"/>
  <c r="T11" i="20" s="1"/>
  <c r="F10" i="23"/>
  <c r="R30" i="21"/>
  <c r="B13" i="20"/>
  <c r="B19" i="20" s="1"/>
  <c r="B33" i="20" s="1"/>
  <c r="F13" i="20"/>
  <c r="F19" i="20" s="1"/>
  <c r="U16" i="21"/>
  <c r="C13" i="20"/>
  <c r="C19" i="20" s="1"/>
  <c r="C33" i="20" s="1"/>
  <c r="F26" i="20"/>
  <c r="F30" i="20" s="1"/>
  <c r="H30" i="20"/>
  <c r="G26" i="20"/>
  <c r="E19" i="20"/>
  <c r="E33" i="20" s="1"/>
  <c r="J13" i="20"/>
  <c r="J19" i="20" s="1"/>
  <c r="J33" i="20" s="1"/>
  <c r="F15" i="21"/>
  <c r="E12" i="23"/>
  <c r="T11" i="21"/>
  <c r="B13" i="23"/>
  <c r="G13" i="23"/>
  <c r="T15" i="21"/>
  <c r="B14" i="23"/>
  <c r="B23" i="21"/>
  <c r="B15" i="23" s="1"/>
  <c r="G23" i="21"/>
  <c r="G15" i="23" s="1"/>
  <c r="T26" i="21"/>
  <c r="T30" i="21"/>
  <c r="B10" i="23"/>
  <c r="B12" i="23"/>
  <c r="G12" i="23"/>
  <c r="C13" i="23"/>
  <c r="T14" i="21"/>
  <c r="I12" i="23"/>
  <c r="C12" i="23"/>
  <c r="T13" i="21"/>
  <c r="E41" i="22"/>
  <c r="E42" i="22" s="1"/>
  <c r="D16" i="19"/>
  <c r="D17" i="19" s="1"/>
  <c r="D20" i="19" s="1"/>
  <c r="D25" i="19" s="1"/>
  <c r="E55" i="22"/>
  <c r="E56" i="22" s="1"/>
  <c r="F41" i="22"/>
  <c r="F42" i="22" s="1"/>
  <c r="E16" i="19"/>
  <c r="E17" i="19" s="1"/>
  <c r="E20" i="19" s="1"/>
  <c r="E25" i="19" s="1"/>
  <c r="F56" i="22"/>
  <c r="F13" i="21"/>
  <c r="D41" i="22"/>
  <c r="D42" i="22" s="1"/>
  <c r="C16" i="19"/>
  <c r="C17" i="19" s="1"/>
  <c r="C20" i="19" s="1"/>
  <c r="C25" i="19" s="1"/>
  <c r="D55" i="22"/>
  <c r="D56" i="22" s="1"/>
  <c r="C41" i="22"/>
  <c r="C42" i="22" s="1"/>
  <c r="B16" i="19"/>
  <c r="B17" i="19" s="1"/>
  <c r="B20" i="19" s="1"/>
  <c r="B25" i="19" s="1"/>
  <c r="C55" i="22"/>
  <c r="C56" i="22" s="1"/>
  <c r="U15" i="21"/>
  <c r="F14" i="21"/>
  <c r="R14" i="21" s="1"/>
  <c r="T10" i="21"/>
  <c r="T21" i="21"/>
  <c r="T25" i="21"/>
  <c r="U25" i="21"/>
  <c r="U27" i="21" s="1"/>
  <c r="C43" i="20"/>
  <c r="D13" i="20"/>
  <c r="D19" i="20" s="1"/>
  <c r="D33" i="20" s="1"/>
  <c r="H13" i="20"/>
  <c r="H19" i="20" s="1"/>
  <c r="H33" i="20" s="1"/>
  <c r="D23" i="18"/>
  <c r="H23" i="18"/>
  <c r="F27" i="18"/>
  <c r="F23" i="18"/>
  <c r="D27" i="18"/>
  <c r="H27" i="18"/>
  <c r="M14" i="18"/>
  <c r="N14" i="18"/>
  <c r="B12" i="18"/>
  <c r="M12" i="18" s="1"/>
  <c r="B11" i="18"/>
  <c r="M11" i="18" s="1"/>
  <c r="B10" i="18"/>
  <c r="M10" i="18" s="1"/>
  <c r="H46" i="18"/>
  <c r="N45" i="18"/>
  <c r="M45" i="18"/>
  <c r="N44" i="18"/>
  <c r="M44" i="18"/>
  <c r="N41" i="18"/>
  <c r="M41" i="18"/>
  <c r="B27" i="18"/>
  <c r="N26" i="18"/>
  <c r="M26" i="18"/>
  <c r="N25" i="18"/>
  <c r="M25" i="18"/>
  <c r="N24" i="18"/>
  <c r="M24" i="18"/>
  <c r="B23" i="18"/>
  <c r="N22" i="18"/>
  <c r="M22" i="18"/>
  <c r="N21" i="18"/>
  <c r="M21" i="18"/>
  <c r="N20" i="18"/>
  <c r="M20" i="18"/>
  <c r="N16" i="18"/>
  <c r="M16" i="18"/>
  <c r="N15" i="18"/>
  <c r="M15" i="18"/>
  <c r="N13" i="18"/>
  <c r="M13" i="18"/>
  <c r="N12" i="18"/>
  <c r="N11" i="18"/>
  <c r="N10" i="18"/>
  <c r="I54" i="16"/>
  <c r="E54" i="16"/>
  <c r="G47" i="16"/>
  <c r="C47" i="16"/>
  <c r="H42" i="16"/>
  <c r="D42" i="16"/>
  <c r="I39" i="16"/>
  <c r="E39" i="16"/>
  <c r="I36" i="16"/>
  <c r="E36" i="16"/>
  <c r="J25" i="17"/>
  <c r="J54" i="16" s="1"/>
  <c r="I25" i="17"/>
  <c r="H25" i="17"/>
  <c r="H54" i="16" s="1"/>
  <c r="G25" i="17"/>
  <c r="G54" i="16" s="1"/>
  <c r="F25" i="17"/>
  <c r="F54" i="16" s="1"/>
  <c r="E25" i="17"/>
  <c r="D25" i="17"/>
  <c r="D54" i="16" s="1"/>
  <c r="C25" i="17"/>
  <c r="C54" i="16" s="1"/>
  <c r="J24" i="17"/>
  <c r="J51" i="16" s="1"/>
  <c r="I24" i="17"/>
  <c r="I51" i="16" s="1"/>
  <c r="H24" i="17"/>
  <c r="H51" i="16" s="1"/>
  <c r="G24" i="17"/>
  <c r="G51" i="16" s="1"/>
  <c r="F24" i="17"/>
  <c r="F51" i="16" s="1"/>
  <c r="E24" i="17"/>
  <c r="E51" i="16" s="1"/>
  <c r="D24" i="17"/>
  <c r="D51" i="16" s="1"/>
  <c r="C24" i="17"/>
  <c r="C51" i="16" s="1"/>
  <c r="J22" i="17"/>
  <c r="J26" i="17" s="1"/>
  <c r="J30" i="17" s="1"/>
  <c r="I22" i="17"/>
  <c r="I26" i="17" s="1"/>
  <c r="H22" i="17"/>
  <c r="H26" i="17" s="1"/>
  <c r="G22" i="17"/>
  <c r="G26" i="17" s="1"/>
  <c r="F22" i="17"/>
  <c r="F26" i="17" s="1"/>
  <c r="F30" i="17" s="1"/>
  <c r="E22" i="17"/>
  <c r="E26" i="17" s="1"/>
  <c r="D22" i="17"/>
  <c r="D26" i="17" s="1"/>
  <c r="C22" i="17"/>
  <c r="C26" i="17" s="1"/>
  <c r="B22" i="17"/>
  <c r="J34" i="17"/>
  <c r="I34" i="17"/>
  <c r="H34" i="17"/>
  <c r="G34" i="17"/>
  <c r="F34" i="17"/>
  <c r="E34" i="17"/>
  <c r="D34" i="17"/>
  <c r="C34" i="17"/>
  <c r="J28" i="17"/>
  <c r="I28" i="17"/>
  <c r="H28" i="17"/>
  <c r="G28" i="17"/>
  <c r="F28" i="17"/>
  <c r="E28" i="17"/>
  <c r="D28" i="17"/>
  <c r="C28" i="17"/>
  <c r="J17" i="17"/>
  <c r="I17" i="17"/>
  <c r="H17" i="17"/>
  <c r="G17" i="17"/>
  <c r="F17" i="17"/>
  <c r="E17" i="17"/>
  <c r="D17" i="17"/>
  <c r="C17" i="17"/>
  <c r="J15" i="17"/>
  <c r="J42" i="16" s="1"/>
  <c r="I15" i="17"/>
  <c r="I42" i="16" s="1"/>
  <c r="H15" i="17"/>
  <c r="G15" i="17"/>
  <c r="G42" i="16" s="1"/>
  <c r="F15" i="17"/>
  <c r="F42" i="16" s="1"/>
  <c r="E15" i="17"/>
  <c r="E42" i="16" s="1"/>
  <c r="D15" i="17"/>
  <c r="C15" i="17"/>
  <c r="C42" i="16" s="1"/>
  <c r="J11" i="17"/>
  <c r="J12" i="17" s="1"/>
  <c r="I11" i="17"/>
  <c r="I12" i="17" s="1"/>
  <c r="J39" i="16" s="1"/>
  <c r="H11" i="17"/>
  <c r="H12" i="17" s="1"/>
  <c r="G11" i="17"/>
  <c r="G12" i="17" s="1"/>
  <c r="H39" i="16" s="1"/>
  <c r="F11" i="17"/>
  <c r="F12" i="17" s="1"/>
  <c r="G39" i="16" s="1"/>
  <c r="E11" i="17"/>
  <c r="E12" i="17" s="1"/>
  <c r="F39" i="16" s="1"/>
  <c r="D11" i="17"/>
  <c r="D12" i="17" s="1"/>
  <c r="C11" i="17"/>
  <c r="C12" i="17" s="1"/>
  <c r="D39" i="16" s="1"/>
  <c r="J10" i="17"/>
  <c r="I10" i="17"/>
  <c r="H10" i="17"/>
  <c r="G10" i="17"/>
  <c r="F10" i="17"/>
  <c r="E10" i="17"/>
  <c r="D10" i="17"/>
  <c r="C10" i="17"/>
  <c r="B34" i="17"/>
  <c r="B28" i="17"/>
  <c r="B25" i="17"/>
  <c r="B54" i="16" s="1"/>
  <c r="B24" i="17"/>
  <c r="B51" i="16" s="1"/>
  <c r="B11" i="17"/>
  <c r="B12" i="17" s="1"/>
  <c r="C39" i="16" s="1"/>
  <c r="B17" i="17"/>
  <c r="B10" i="17"/>
  <c r="B30" i="18" s="1"/>
  <c r="M30" i="18" s="1"/>
  <c r="B15" i="17"/>
  <c r="B42" i="16" s="1"/>
  <c r="T27" i="21" l="1"/>
  <c r="T23" i="21"/>
  <c r="R28" i="20"/>
  <c r="M28" i="20"/>
  <c r="M30" i="20" s="1"/>
  <c r="M33" i="20" s="1"/>
  <c r="L30" i="20"/>
  <c r="L33" i="20" s="1"/>
  <c r="M12" i="21"/>
  <c r="S14" i="19"/>
  <c r="S15" i="19"/>
  <c r="M11" i="21"/>
  <c r="M13" i="23" s="1"/>
  <c r="Q16" i="19"/>
  <c r="Q17" i="19" s="1"/>
  <c r="Q20" i="19" s="1"/>
  <c r="S10" i="19"/>
  <c r="F14" i="23"/>
  <c r="F33" i="20"/>
  <c r="U13" i="21"/>
  <c r="R13" i="21"/>
  <c r="U14" i="21"/>
  <c r="D13" i="17"/>
  <c r="D19" i="17" s="1"/>
  <c r="D30" i="18"/>
  <c r="C35" i="18"/>
  <c r="H13" i="17"/>
  <c r="H30" i="18"/>
  <c r="G35" i="18"/>
  <c r="C30" i="17"/>
  <c r="C33" i="17" s="1"/>
  <c r="G30" i="17"/>
  <c r="B36" i="16"/>
  <c r="F36" i="16"/>
  <c r="J36" i="16"/>
  <c r="D47" i="16"/>
  <c r="H47" i="16"/>
  <c r="C13" i="17"/>
  <c r="C19" i="17" s="1"/>
  <c r="C30" i="18"/>
  <c r="B35" i="18"/>
  <c r="G13" i="17"/>
  <c r="G19" i="17" s="1"/>
  <c r="G30" i="18"/>
  <c r="F35" i="18"/>
  <c r="E13" i="17"/>
  <c r="E19" i="17" s="1"/>
  <c r="D35" i="18"/>
  <c r="E30" i="18"/>
  <c r="I13" i="17"/>
  <c r="I19" i="17" s="1"/>
  <c r="H35" i="18"/>
  <c r="I30" i="18"/>
  <c r="D30" i="17"/>
  <c r="H30" i="17"/>
  <c r="C36" i="16"/>
  <c r="G36" i="16"/>
  <c r="E47" i="16"/>
  <c r="I47" i="16"/>
  <c r="B26" i="17"/>
  <c r="B30" i="17" s="1"/>
  <c r="F13" i="17"/>
  <c r="F19" i="17" s="1"/>
  <c r="F33" i="17" s="1"/>
  <c r="E35" i="18"/>
  <c r="F30" i="18"/>
  <c r="J13" i="17"/>
  <c r="J19" i="17" s="1"/>
  <c r="I35" i="18"/>
  <c r="E30" i="17"/>
  <c r="I30" i="17"/>
  <c r="D36" i="16"/>
  <c r="H36" i="16"/>
  <c r="B47" i="16"/>
  <c r="F47" i="16"/>
  <c r="J47" i="16"/>
  <c r="M27" i="18"/>
  <c r="M23" i="18"/>
  <c r="N23" i="18"/>
  <c r="N27" i="18"/>
  <c r="E33" i="17"/>
  <c r="J33" i="17"/>
  <c r="D33" i="17"/>
  <c r="I33" i="17"/>
  <c r="G33" i="17"/>
  <c r="H19" i="17"/>
  <c r="C41" i="17"/>
  <c r="C39" i="17"/>
  <c r="C38" i="17"/>
  <c r="B13" i="17"/>
  <c r="B19" i="17" s="1"/>
  <c r="F11" i="16"/>
  <c r="E11" i="16"/>
  <c r="D11" i="16"/>
  <c r="C11" i="16"/>
  <c r="B11" i="16"/>
  <c r="I24" i="15"/>
  <c r="H24" i="15"/>
  <c r="G24" i="15"/>
  <c r="F24" i="15"/>
  <c r="E24" i="15"/>
  <c r="D24" i="15"/>
  <c r="C24" i="15"/>
  <c r="I18" i="15"/>
  <c r="H18" i="15"/>
  <c r="G18" i="15"/>
  <c r="F18" i="15"/>
  <c r="E18" i="15"/>
  <c r="D18" i="15"/>
  <c r="C18" i="15"/>
  <c r="I15" i="15"/>
  <c r="H15" i="15"/>
  <c r="G15" i="15"/>
  <c r="F15" i="15"/>
  <c r="E15" i="15"/>
  <c r="D15" i="15"/>
  <c r="C15" i="15"/>
  <c r="I14" i="15"/>
  <c r="H14" i="15"/>
  <c r="G14" i="15"/>
  <c r="F14" i="15"/>
  <c r="E14" i="15"/>
  <c r="D14" i="15"/>
  <c r="C14" i="15"/>
  <c r="I13" i="15"/>
  <c r="H13" i="15"/>
  <c r="G13" i="15"/>
  <c r="F13" i="15"/>
  <c r="E13" i="15"/>
  <c r="D13" i="15"/>
  <c r="C13" i="15"/>
  <c r="I12" i="15"/>
  <c r="H12" i="15"/>
  <c r="I20" i="22" s="1"/>
  <c r="G12" i="15"/>
  <c r="F12" i="15"/>
  <c r="E12" i="15"/>
  <c r="D12" i="15"/>
  <c r="E20" i="22" s="1"/>
  <c r="C12" i="15"/>
  <c r="I10" i="15"/>
  <c r="H10" i="15"/>
  <c r="G10" i="15"/>
  <c r="F10" i="15"/>
  <c r="E10" i="15"/>
  <c r="D10" i="15"/>
  <c r="C10" i="15"/>
  <c r="B24" i="15"/>
  <c r="B18" i="15"/>
  <c r="B15" i="15"/>
  <c r="B14" i="15"/>
  <c r="B13" i="15"/>
  <c r="B12" i="15"/>
  <c r="C20" i="22" s="1"/>
  <c r="B10" i="15"/>
  <c r="C32" i="16" l="1"/>
  <c r="C32" i="22"/>
  <c r="J17" i="16"/>
  <c r="J37" i="16" s="1"/>
  <c r="J17" i="22"/>
  <c r="G20" i="16"/>
  <c r="G20" i="22"/>
  <c r="H23" i="16"/>
  <c r="H24" i="16" s="1"/>
  <c r="H23" i="22"/>
  <c r="I26" i="16"/>
  <c r="I26" i="22"/>
  <c r="H14" i="19" s="1"/>
  <c r="J28" i="16"/>
  <c r="J29" i="16" s="1"/>
  <c r="J28" i="22"/>
  <c r="D20" i="16"/>
  <c r="D20" i="22"/>
  <c r="H20" i="16"/>
  <c r="H21" i="16" s="1"/>
  <c r="H20" i="22"/>
  <c r="I23" i="16"/>
  <c r="I23" i="22"/>
  <c r="J26" i="16"/>
  <c r="J26" i="22"/>
  <c r="I14" i="19" s="1"/>
  <c r="H32" i="16"/>
  <c r="H32" i="22"/>
  <c r="C26" i="16"/>
  <c r="C26" i="22"/>
  <c r="H17" i="16"/>
  <c r="H17" i="22"/>
  <c r="H12" i="19"/>
  <c r="F23" i="16"/>
  <c r="F23" i="22"/>
  <c r="J23" i="16"/>
  <c r="J24" i="16" s="1"/>
  <c r="J23" i="22"/>
  <c r="G26" i="16"/>
  <c r="G26" i="22"/>
  <c r="F14" i="19" s="1"/>
  <c r="F12" i="21" s="1"/>
  <c r="D28" i="16"/>
  <c r="D43" i="16" s="1"/>
  <c r="D44" i="16" s="1"/>
  <c r="D28" i="22"/>
  <c r="H28" i="16"/>
  <c r="H29" i="16" s="1"/>
  <c r="H28" i="22"/>
  <c r="E32" i="16"/>
  <c r="E32" i="22"/>
  <c r="I32" i="16"/>
  <c r="I32" i="22"/>
  <c r="F17" i="16"/>
  <c r="F48" i="16" s="1"/>
  <c r="F17" i="22"/>
  <c r="D23" i="16"/>
  <c r="D23" i="22"/>
  <c r="E26" i="16"/>
  <c r="E26" i="22"/>
  <c r="F28" i="16"/>
  <c r="F43" i="16" s="1"/>
  <c r="F44" i="16" s="1"/>
  <c r="F28" i="22"/>
  <c r="G32" i="16"/>
  <c r="G32" i="22"/>
  <c r="C23" i="16"/>
  <c r="C23" i="22"/>
  <c r="G17" i="16"/>
  <c r="G48" i="16" s="1"/>
  <c r="G17" i="22"/>
  <c r="E23" i="16"/>
  <c r="E23" i="22"/>
  <c r="F26" i="16"/>
  <c r="F26" i="22"/>
  <c r="G28" i="16"/>
  <c r="G29" i="16" s="1"/>
  <c r="G28" i="22"/>
  <c r="D32" i="16"/>
  <c r="D32" i="22"/>
  <c r="D17" i="16"/>
  <c r="D37" i="16" s="1"/>
  <c r="D17" i="22"/>
  <c r="C17" i="16"/>
  <c r="C48" i="16" s="1"/>
  <c r="C17" i="22"/>
  <c r="C28" i="16"/>
  <c r="C43" i="16" s="1"/>
  <c r="C45" i="16" s="1"/>
  <c r="C28" i="22"/>
  <c r="E17" i="16"/>
  <c r="E37" i="16" s="1"/>
  <c r="E17" i="22"/>
  <c r="E21" i="22" s="1"/>
  <c r="I17" i="16"/>
  <c r="I52" i="16" s="1"/>
  <c r="I17" i="22"/>
  <c r="F20" i="16"/>
  <c r="F21" i="16" s="1"/>
  <c r="F20" i="22"/>
  <c r="F21" i="22" s="1"/>
  <c r="J20" i="16"/>
  <c r="J20" i="22"/>
  <c r="G23" i="16"/>
  <c r="G24" i="16" s="1"/>
  <c r="G23" i="22"/>
  <c r="D26" i="16"/>
  <c r="D26" i="22"/>
  <c r="H26" i="16"/>
  <c r="H26" i="22"/>
  <c r="G14" i="19" s="1"/>
  <c r="E28" i="16"/>
  <c r="E43" i="16" s="1"/>
  <c r="E44" i="16" s="1"/>
  <c r="E28" i="22"/>
  <c r="I28" i="16"/>
  <c r="I29" i="16" s="1"/>
  <c r="I28" i="22"/>
  <c r="F32" i="16"/>
  <c r="F32" i="22"/>
  <c r="J32" i="16"/>
  <c r="J32" i="22"/>
  <c r="M10" i="21"/>
  <c r="N28" i="20"/>
  <c r="N30" i="20" s="1"/>
  <c r="P23" i="21"/>
  <c r="R21" i="21"/>
  <c r="R23" i="21" s="1"/>
  <c r="R10" i="21"/>
  <c r="T28" i="20"/>
  <c r="G15" i="20"/>
  <c r="T15" i="20" s="1"/>
  <c r="H33" i="17"/>
  <c r="G21" i="16"/>
  <c r="D16" i="15"/>
  <c r="D17" i="15" s="1"/>
  <c r="D20" i="15" s="1"/>
  <c r="D25" i="15" s="1"/>
  <c r="G14" i="16"/>
  <c r="J40" i="16"/>
  <c r="H31" i="16"/>
  <c r="H33" i="16" s="1"/>
  <c r="H14" i="16"/>
  <c r="B16" i="15"/>
  <c r="B17" i="15" s="1"/>
  <c r="B20" i="15" s="1"/>
  <c r="B25" i="15" s="1"/>
  <c r="H48" i="16"/>
  <c r="H37" i="16"/>
  <c r="H40" i="16"/>
  <c r="H16" i="15"/>
  <c r="H17" i="15" s="1"/>
  <c r="H20" i="15" s="1"/>
  <c r="H25" i="15" s="1"/>
  <c r="I20" i="16"/>
  <c r="E20" i="16"/>
  <c r="C20" i="16"/>
  <c r="J43" i="16"/>
  <c r="H52" i="16"/>
  <c r="F52" i="16"/>
  <c r="D45" i="16"/>
  <c r="F45" i="16"/>
  <c r="E45" i="16"/>
  <c r="F40" i="16"/>
  <c r="D40" i="16"/>
  <c r="F37" i="16"/>
  <c r="C37" i="16"/>
  <c r="D14" i="16"/>
  <c r="E14" i="16"/>
  <c r="D21" i="16"/>
  <c r="B33" i="17"/>
  <c r="C43" i="17"/>
  <c r="F14" i="16"/>
  <c r="E16" i="15"/>
  <c r="E17" i="15" s="1"/>
  <c r="E20" i="15" s="1"/>
  <c r="E25" i="15" s="1"/>
  <c r="F16" i="15"/>
  <c r="F17" i="15" s="1"/>
  <c r="F20" i="15" s="1"/>
  <c r="I16" i="15"/>
  <c r="I17" i="15" s="1"/>
  <c r="C16" i="15"/>
  <c r="C17" i="15" s="1"/>
  <c r="C20" i="15" s="1"/>
  <c r="C25" i="15" s="1"/>
  <c r="G16" i="15"/>
  <c r="G17" i="15" s="1"/>
  <c r="G20" i="15" s="1"/>
  <c r="G25" i="15" s="1"/>
  <c r="B10" i="14"/>
  <c r="B18" i="14" s="1"/>
  <c r="I16" i="13"/>
  <c r="H16" i="13"/>
  <c r="G16" i="13"/>
  <c r="F16" i="13"/>
  <c r="S16" i="23" s="1"/>
  <c r="E16" i="13"/>
  <c r="D16" i="13"/>
  <c r="I15" i="13"/>
  <c r="I14" i="13"/>
  <c r="H14" i="13"/>
  <c r="G14" i="13"/>
  <c r="F14" i="13"/>
  <c r="E14" i="13"/>
  <c r="D14" i="13"/>
  <c r="I13" i="13"/>
  <c r="H13" i="13"/>
  <c r="G13" i="13"/>
  <c r="F13" i="13"/>
  <c r="S13" i="23" s="1"/>
  <c r="E13" i="13"/>
  <c r="D13" i="13"/>
  <c r="I12" i="13"/>
  <c r="H12" i="13"/>
  <c r="G12" i="13"/>
  <c r="F12" i="13"/>
  <c r="E12" i="13"/>
  <c r="D12" i="13"/>
  <c r="F10" i="13"/>
  <c r="V17" i="12"/>
  <c r="U17" i="12"/>
  <c r="T17" i="12"/>
  <c r="S17" i="12"/>
  <c r="V51" i="12"/>
  <c r="V38" i="12"/>
  <c r="V30" i="12"/>
  <c r="V29" i="12"/>
  <c r="V28" i="12"/>
  <c r="V27" i="12"/>
  <c r="V25" i="12"/>
  <c r="V24" i="12"/>
  <c r="V22" i="12"/>
  <c r="R32" i="12"/>
  <c r="I32" i="12"/>
  <c r="H32" i="12"/>
  <c r="G32" i="12"/>
  <c r="F32" i="12"/>
  <c r="F17" i="18" s="1"/>
  <c r="E32" i="12"/>
  <c r="D32" i="12"/>
  <c r="C32" i="12"/>
  <c r="B32" i="12"/>
  <c r="U30" i="12"/>
  <c r="T30" i="12"/>
  <c r="U51" i="12"/>
  <c r="U38" i="12"/>
  <c r="U29" i="12"/>
  <c r="U28" i="12"/>
  <c r="U27" i="12"/>
  <c r="U25" i="12"/>
  <c r="U24" i="12"/>
  <c r="U22" i="12"/>
  <c r="U15" i="12"/>
  <c r="U12" i="12"/>
  <c r="P26" i="12"/>
  <c r="Q26" i="12"/>
  <c r="Q39" i="12"/>
  <c r="Q38" i="12"/>
  <c r="I36" i="12"/>
  <c r="Q17" i="12"/>
  <c r="Q18" i="12"/>
  <c r="Q19" i="12"/>
  <c r="Q22" i="12"/>
  <c r="Q23" i="12"/>
  <c r="Q32" i="12" s="1"/>
  <c r="Q25" i="12"/>
  <c r="Q27" i="12"/>
  <c r="Q30" i="12"/>
  <c r="Q12" i="12"/>
  <c r="Q41" i="12"/>
  <c r="Q43" i="12"/>
  <c r="Q42" i="12"/>
  <c r="Q40" i="12"/>
  <c r="Q37" i="12"/>
  <c r="Q35" i="12"/>
  <c r="Q34" i="12"/>
  <c r="Q33" i="12"/>
  <c r="Q29" i="12"/>
  <c r="Q28" i="12"/>
  <c r="Q24" i="12"/>
  <c r="Q21" i="12"/>
  <c r="Q20" i="12"/>
  <c r="Q16" i="12"/>
  <c r="Q15" i="12"/>
  <c r="B17" i="21" l="1"/>
  <c r="B19" i="21" s="1"/>
  <c r="B29" i="21" s="1"/>
  <c r="B32" i="21" s="1"/>
  <c r="B21" i="23" s="1"/>
  <c r="B17" i="23" s="1"/>
  <c r="B19" i="23" s="1"/>
  <c r="B17" i="18"/>
  <c r="B19" i="18" s="1"/>
  <c r="B29" i="18" s="1"/>
  <c r="B32" i="18" s="1"/>
  <c r="E17" i="18"/>
  <c r="E19" i="18" s="1"/>
  <c r="E29" i="18" s="1"/>
  <c r="E32" i="18" s="1"/>
  <c r="E17" i="21"/>
  <c r="E19" i="21" s="1"/>
  <c r="E29" i="21" s="1"/>
  <c r="E32" i="21" s="1"/>
  <c r="E21" i="23" s="1"/>
  <c r="E17" i="23" s="1"/>
  <c r="E19" i="23" s="1"/>
  <c r="I17" i="21"/>
  <c r="I19" i="21" s="1"/>
  <c r="I29" i="21" s="1"/>
  <c r="I32" i="21" s="1"/>
  <c r="I21" i="23" s="1"/>
  <c r="I17" i="23" s="1"/>
  <c r="I19" i="23" s="1"/>
  <c r="I17" i="18"/>
  <c r="I19" i="18" s="1"/>
  <c r="I29" i="18" s="1"/>
  <c r="I32" i="18" s="1"/>
  <c r="H17" i="21"/>
  <c r="H19" i="21" s="1"/>
  <c r="H29" i="21" s="1"/>
  <c r="H32" i="21" s="1"/>
  <c r="H21" i="23" s="1"/>
  <c r="H17" i="23" s="1"/>
  <c r="H19" i="23" s="1"/>
  <c r="H17" i="18"/>
  <c r="H19" i="18" s="1"/>
  <c r="H29" i="18" s="1"/>
  <c r="H32" i="18" s="1"/>
  <c r="F19" i="18"/>
  <c r="F29" i="18" s="1"/>
  <c r="F32" i="18" s="1"/>
  <c r="D17" i="21"/>
  <c r="D19" i="21" s="1"/>
  <c r="D29" i="21" s="1"/>
  <c r="D32" i="21" s="1"/>
  <c r="D21" i="23" s="1"/>
  <c r="D17" i="23" s="1"/>
  <c r="D19" i="23" s="1"/>
  <c r="D17" i="18"/>
  <c r="D19" i="18" s="1"/>
  <c r="D29" i="18" s="1"/>
  <c r="D32" i="18" s="1"/>
  <c r="C17" i="21"/>
  <c r="C17" i="18"/>
  <c r="G17" i="18"/>
  <c r="G19" i="18" s="1"/>
  <c r="G29" i="18" s="1"/>
  <c r="G32" i="18" s="1"/>
  <c r="G17" i="21"/>
  <c r="D29" i="16"/>
  <c r="E40" i="16"/>
  <c r="G31" i="16"/>
  <c r="G33" i="16" s="1"/>
  <c r="I37" i="16"/>
  <c r="J14" i="16"/>
  <c r="I48" i="16"/>
  <c r="F24" i="22"/>
  <c r="C24" i="16"/>
  <c r="C40" i="16"/>
  <c r="F24" i="16"/>
  <c r="C52" i="16"/>
  <c r="E21" i="16"/>
  <c r="I43" i="16"/>
  <c r="I44" i="16" s="1"/>
  <c r="J21" i="16"/>
  <c r="E24" i="16"/>
  <c r="D24" i="16"/>
  <c r="F31" i="16"/>
  <c r="F59" i="16" s="1"/>
  <c r="F60" i="16" s="1"/>
  <c r="H29" i="22"/>
  <c r="H49" i="22"/>
  <c r="G15" i="19"/>
  <c r="J31" i="22"/>
  <c r="J66" i="22" s="1"/>
  <c r="J67" i="22" s="1"/>
  <c r="J46" i="22"/>
  <c r="J14" i="22"/>
  <c r="K15" i="22" s="1"/>
  <c r="J59" i="22"/>
  <c r="J54" i="22"/>
  <c r="J43" i="22"/>
  <c r="I10" i="19"/>
  <c r="D48" i="16"/>
  <c r="I18" i="19"/>
  <c r="I29" i="22"/>
  <c r="I49" i="22"/>
  <c r="H15" i="19"/>
  <c r="E46" i="22"/>
  <c r="E14" i="22"/>
  <c r="E31" i="22"/>
  <c r="E66" i="22" s="1"/>
  <c r="E67" i="22" s="1"/>
  <c r="E43" i="22"/>
  <c r="E59" i="22"/>
  <c r="E54" i="22"/>
  <c r="G31" i="22"/>
  <c r="G66" i="22" s="1"/>
  <c r="G67" i="22" s="1"/>
  <c r="G43" i="22"/>
  <c r="G46" i="22"/>
  <c r="G14" i="22"/>
  <c r="G59" i="22"/>
  <c r="G54" i="22"/>
  <c r="F10" i="19"/>
  <c r="J90" i="22"/>
  <c r="F18" i="19"/>
  <c r="F14" i="22"/>
  <c r="F54" i="22"/>
  <c r="F43" i="22"/>
  <c r="F59" i="22"/>
  <c r="F46" i="22"/>
  <c r="F31" i="22"/>
  <c r="F66" i="22" s="1"/>
  <c r="F67" i="22" s="1"/>
  <c r="H31" i="22"/>
  <c r="H66" i="22" s="1"/>
  <c r="H67" i="22" s="1"/>
  <c r="H14" i="22"/>
  <c r="H59" i="22"/>
  <c r="H43" i="22"/>
  <c r="H46" i="22"/>
  <c r="H54" i="22"/>
  <c r="G10" i="19"/>
  <c r="R12" i="21"/>
  <c r="U12" i="21"/>
  <c r="H24" i="22"/>
  <c r="G13" i="19"/>
  <c r="F83" i="16"/>
  <c r="H18" i="16" s="1"/>
  <c r="I14" i="16"/>
  <c r="G24" i="22"/>
  <c r="F13" i="19"/>
  <c r="S13" i="19" s="1"/>
  <c r="S16" i="19" s="1"/>
  <c r="S17" i="19" s="1"/>
  <c r="D31" i="16"/>
  <c r="G43" i="16"/>
  <c r="G45" i="16" s="1"/>
  <c r="D29" i="22"/>
  <c r="D49" i="22"/>
  <c r="J24" i="22"/>
  <c r="I13" i="19"/>
  <c r="G18" i="19"/>
  <c r="I24" i="22"/>
  <c r="H13" i="19"/>
  <c r="I56" i="22" s="1"/>
  <c r="D21" i="22"/>
  <c r="G21" i="22"/>
  <c r="F12" i="19"/>
  <c r="H18" i="19"/>
  <c r="H21" i="22"/>
  <c r="G12" i="19"/>
  <c r="J29" i="22"/>
  <c r="J49" i="22"/>
  <c r="I15" i="19"/>
  <c r="F25" i="15"/>
  <c r="F27" i="19"/>
  <c r="J31" i="16"/>
  <c r="J33" i="16" s="1"/>
  <c r="I40" i="16"/>
  <c r="C31" i="22"/>
  <c r="C66" i="22" s="1"/>
  <c r="C67" i="22" s="1"/>
  <c r="C54" i="22"/>
  <c r="C59" i="22"/>
  <c r="C46" i="22"/>
  <c r="F90" i="22"/>
  <c r="H18" i="22" s="1"/>
  <c r="C14" i="22"/>
  <c r="C43" i="22"/>
  <c r="C44" i="16"/>
  <c r="D52" i="16"/>
  <c r="H43" i="16"/>
  <c r="H45" i="16" s="1"/>
  <c r="I21" i="16"/>
  <c r="J48" i="16"/>
  <c r="I24" i="16"/>
  <c r="C29" i="16"/>
  <c r="E29" i="16"/>
  <c r="C14" i="16"/>
  <c r="D15" i="16" s="1"/>
  <c r="E48" i="16"/>
  <c r="F29" i="16"/>
  <c r="C31" i="16"/>
  <c r="C59" i="16" s="1"/>
  <c r="C60" i="16" s="1"/>
  <c r="E52" i="16"/>
  <c r="G52" i="16"/>
  <c r="C21" i="16"/>
  <c r="J52" i="16"/>
  <c r="E49" i="22"/>
  <c r="E29" i="22"/>
  <c r="J21" i="22"/>
  <c r="I12" i="19"/>
  <c r="J56" i="22" s="1"/>
  <c r="I31" i="22"/>
  <c r="I66" i="22" s="1"/>
  <c r="I67" i="22" s="1"/>
  <c r="I46" i="22"/>
  <c r="I59" i="22"/>
  <c r="I14" i="22"/>
  <c r="I43" i="22"/>
  <c r="I54" i="22"/>
  <c r="H10" i="19"/>
  <c r="C49" i="22"/>
  <c r="C29" i="22"/>
  <c r="D14" i="22"/>
  <c r="E15" i="22" s="1"/>
  <c r="D54" i="22"/>
  <c r="D31" i="22"/>
  <c r="D66" i="22" s="1"/>
  <c r="D67" i="22" s="1"/>
  <c r="D59" i="22"/>
  <c r="D46" i="22"/>
  <c r="D43" i="22"/>
  <c r="G29" i="22"/>
  <c r="G49" i="22"/>
  <c r="F15" i="19"/>
  <c r="F11" i="21" s="1"/>
  <c r="E24" i="22"/>
  <c r="C24" i="22"/>
  <c r="F29" i="22"/>
  <c r="F49" i="22"/>
  <c r="D24" i="22"/>
  <c r="C21" i="22"/>
  <c r="I21" i="22"/>
  <c r="M19" i="21"/>
  <c r="M29" i="21" s="1"/>
  <c r="M32" i="21" s="1"/>
  <c r="M21" i="23" s="1"/>
  <c r="M12" i="23"/>
  <c r="C33" i="16"/>
  <c r="H15" i="16"/>
  <c r="G15" i="16"/>
  <c r="G44" i="16"/>
  <c r="I15" i="16"/>
  <c r="E31" i="16"/>
  <c r="E59" i="16" s="1"/>
  <c r="E60" i="16" s="1"/>
  <c r="I45" i="16"/>
  <c r="J44" i="16"/>
  <c r="J45" i="16"/>
  <c r="H44" i="16"/>
  <c r="J15" i="16"/>
  <c r="I31" i="16"/>
  <c r="I33" i="16" s="1"/>
  <c r="C18" i="16"/>
  <c r="I18" i="16"/>
  <c r="F33" i="16"/>
  <c r="D18" i="16"/>
  <c r="E15" i="16"/>
  <c r="F15" i="16"/>
  <c r="I20" i="15"/>
  <c r="I25" i="15" s="1"/>
  <c r="U34" i="12"/>
  <c r="U36" i="12" s="1"/>
  <c r="U31" i="12"/>
  <c r="U32" i="12" s="1"/>
  <c r="I44" i="12"/>
  <c r="Q44" i="12"/>
  <c r="Q36" i="12"/>
  <c r="H62" i="12"/>
  <c r="Q60" i="12"/>
  <c r="H36" i="12"/>
  <c r="H15" i="13" s="1"/>
  <c r="G44" i="12"/>
  <c r="G36" i="12"/>
  <c r="G15" i="13" s="1"/>
  <c r="F44" i="12"/>
  <c r="E44" i="12"/>
  <c r="D44" i="12"/>
  <c r="C44" i="12"/>
  <c r="F33" i="22" l="1"/>
  <c r="M17" i="23"/>
  <c r="M19" i="23" s="1"/>
  <c r="N17" i="18"/>
  <c r="N19" i="18" s="1"/>
  <c r="N29" i="18" s="1"/>
  <c r="C19" i="18"/>
  <c r="C29" i="18" s="1"/>
  <c r="C32" i="18" s="1"/>
  <c r="M17" i="18"/>
  <c r="M19" i="18" s="1"/>
  <c r="M29" i="18" s="1"/>
  <c r="M32" i="18" s="1"/>
  <c r="N30" i="18" s="1"/>
  <c r="N32" i="18" s="1"/>
  <c r="C19" i="21"/>
  <c r="C29" i="21" s="1"/>
  <c r="C32" i="21" s="1"/>
  <c r="C21" i="23" s="1"/>
  <c r="C17" i="23" s="1"/>
  <c r="C19" i="23" s="1"/>
  <c r="T17" i="21"/>
  <c r="T19" i="21" s="1"/>
  <c r="T29" i="21" s="1"/>
  <c r="T32" i="21" s="1"/>
  <c r="U30" i="21" s="1"/>
  <c r="G19" i="21"/>
  <c r="G29" i="21" s="1"/>
  <c r="G32" i="21" s="1"/>
  <c r="G21" i="23" s="1"/>
  <c r="G17" i="23" s="1"/>
  <c r="G19" i="23" s="1"/>
  <c r="U17" i="21"/>
  <c r="J15" i="22"/>
  <c r="H56" i="22"/>
  <c r="H16" i="19"/>
  <c r="H17" i="19" s="1"/>
  <c r="H20" i="19" s="1"/>
  <c r="H25" i="19" s="1"/>
  <c r="D59" i="16"/>
  <c r="D60" i="16" s="1"/>
  <c r="D33" i="16"/>
  <c r="I51" i="22"/>
  <c r="I50" i="22"/>
  <c r="E18" i="16"/>
  <c r="G18" i="16"/>
  <c r="G51" i="22"/>
  <c r="G50" i="22"/>
  <c r="F21" i="21"/>
  <c r="C18" i="22"/>
  <c r="F16" i="19"/>
  <c r="F17" i="19" s="1"/>
  <c r="F20" i="19" s="1"/>
  <c r="G56" i="22"/>
  <c r="G16" i="19"/>
  <c r="G17" i="19" s="1"/>
  <c r="G20" i="19" s="1"/>
  <c r="G25" i="19" s="1"/>
  <c r="H41" i="22"/>
  <c r="H42" i="22" s="1"/>
  <c r="F18" i="22"/>
  <c r="G33" i="22"/>
  <c r="G18" i="22"/>
  <c r="J41" i="22"/>
  <c r="J42" i="22" s="1"/>
  <c r="F50" i="22"/>
  <c r="F51" i="22"/>
  <c r="C33" i="22"/>
  <c r="D51" i="22"/>
  <c r="D50" i="22"/>
  <c r="E18" i="22"/>
  <c r="F18" i="16"/>
  <c r="J18" i="16"/>
  <c r="J51" i="22"/>
  <c r="J50" i="22"/>
  <c r="I16" i="19"/>
  <c r="I17" i="19" s="1"/>
  <c r="I20" i="19" s="1"/>
  <c r="I25" i="19" s="1"/>
  <c r="E33" i="22"/>
  <c r="J18" i="22"/>
  <c r="H51" i="22"/>
  <c r="H50" i="22"/>
  <c r="R11" i="21"/>
  <c r="F13" i="23"/>
  <c r="U11" i="21"/>
  <c r="I41" i="22"/>
  <c r="I42" i="22" s="1"/>
  <c r="D18" i="22"/>
  <c r="C50" i="22"/>
  <c r="C51" i="22"/>
  <c r="I18" i="22"/>
  <c r="E51" i="22"/>
  <c r="E50" i="22"/>
  <c r="D15" i="22"/>
  <c r="I33" i="22"/>
  <c r="H33" i="22"/>
  <c r="I15" i="22"/>
  <c r="F15" i="22"/>
  <c r="G15" i="22"/>
  <c r="G41" i="22"/>
  <c r="G42" i="22" s="1"/>
  <c r="F34" i="19"/>
  <c r="F35" i="19" s="1"/>
  <c r="F36" i="19" s="1"/>
  <c r="H15" i="22"/>
  <c r="D33" i="22"/>
  <c r="J33" i="22"/>
  <c r="R19" i="23"/>
  <c r="R21" i="23" s="1"/>
  <c r="S10" i="23"/>
  <c r="S12" i="23"/>
  <c r="E33" i="16"/>
  <c r="G37" i="16"/>
  <c r="G40" i="16"/>
  <c r="Q57" i="12"/>
  <c r="Q61" i="12"/>
  <c r="I46" i="12"/>
  <c r="Q46" i="12"/>
  <c r="H44" i="12"/>
  <c r="G46" i="12"/>
  <c r="P41" i="12"/>
  <c r="F36" i="12"/>
  <c r="F15" i="13" s="1"/>
  <c r="E36" i="12"/>
  <c r="E15" i="13" s="1"/>
  <c r="D36" i="12"/>
  <c r="D15" i="13" s="1"/>
  <c r="C36" i="12"/>
  <c r="B36" i="12"/>
  <c r="B44" i="12"/>
  <c r="P48" i="12"/>
  <c r="P17" i="12"/>
  <c r="P43" i="12"/>
  <c r="P42" i="12"/>
  <c r="P40" i="12"/>
  <c r="P39" i="12"/>
  <c r="P38" i="12"/>
  <c r="P35" i="12"/>
  <c r="P34" i="12"/>
  <c r="P30" i="12"/>
  <c r="P29" i="12"/>
  <c r="P28" i="12"/>
  <c r="P27" i="12"/>
  <c r="P25" i="12"/>
  <c r="P24" i="12"/>
  <c r="P23" i="12"/>
  <c r="P32" i="12" s="1"/>
  <c r="P22" i="12"/>
  <c r="P21" i="12"/>
  <c r="P20" i="12"/>
  <c r="P19" i="12"/>
  <c r="P18" i="12"/>
  <c r="P16" i="12"/>
  <c r="P15" i="12"/>
  <c r="P12" i="12"/>
  <c r="U43" i="12" l="1"/>
  <c r="U44" i="12" s="1"/>
  <c r="U46" i="12" s="1"/>
  <c r="S15" i="23"/>
  <c r="F10" i="21"/>
  <c r="G28" i="20"/>
  <c r="G30" i="20" s="1"/>
  <c r="F25" i="19"/>
  <c r="F23" i="21"/>
  <c r="F15" i="23" s="1"/>
  <c r="U21" i="21"/>
  <c r="U23" i="21" s="1"/>
  <c r="P36" i="12"/>
  <c r="H46" i="12"/>
  <c r="D46" i="12"/>
  <c r="F46" i="12"/>
  <c r="F49" i="12" s="1"/>
  <c r="B46" i="12"/>
  <c r="P44" i="12"/>
  <c r="E46" i="12"/>
  <c r="G48" i="12" l="1"/>
  <c r="F22" i="13"/>
  <c r="F17" i="13" s="1"/>
  <c r="U10" i="21"/>
  <c r="U19" i="21" s="1"/>
  <c r="U29" i="21" s="1"/>
  <c r="U32" i="21" s="1"/>
  <c r="F12" i="23"/>
  <c r="F19" i="21"/>
  <c r="F29" i="21" s="1"/>
  <c r="F32" i="21" s="1"/>
  <c r="G59" i="16"/>
  <c r="G60" i="16" s="1"/>
  <c r="P46" i="12"/>
  <c r="C14" i="13"/>
  <c r="B14" i="13"/>
  <c r="F19" i="13" l="1"/>
  <c r="G49" i="12"/>
  <c r="G10" i="13"/>
  <c r="G10" i="20"/>
  <c r="G13" i="20" s="1"/>
  <c r="G19" i="20" s="1"/>
  <c r="G33" i="20" s="1"/>
  <c r="F21" i="23"/>
  <c r="F17" i="23" s="1"/>
  <c r="F19" i="23" s="1"/>
  <c r="H59" i="16"/>
  <c r="H60" i="16" s="1"/>
  <c r="J83" i="16"/>
  <c r="C16" i="13"/>
  <c r="C15" i="13"/>
  <c r="C13" i="13"/>
  <c r="C12" i="13"/>
  <c r="B16" i="13"/>
  <c r="B15" i="13"/>
  <c r="B13" i="13"/>
  <c r="B12" i="13"/>
  <c r="B10" i="13"/>
  <c r="B49" i="12"/>
  <c r="B22" i="13" s="1"/>
  <c r="C52" i="11"/>
  <c r="C50" i="11"/>
  <c r="C54" i="11" s="1"/>
  <c r="C49" i="11"/>
  <c r="H48" i="12" l="1"/>
  <c r="G22" i="13"/>
  <c r="G17" i="13" s="1"/>
  <c r="B20" i="14"/>
  <c r="C10" i="14" s="1"/>
  <c r="C18" i="14" s="1"/>
  <c r="I59" i="16"/>
  <c r="I60" i="16" s="1"/>
  <c r="B17" i="13"/>
  <c r="C48" i="12"/>
  <c r="C10" i="13" s="1"/>
  <c r="T51" i="12"/>
  <c r="T38" i="12"/>
  <c r="T29" i="12"/>
  <c r="T28" i="12"/>
  <c r="T27" i="12"/>
  <c r="T25" i="12"/>
  <c r="T24" i="12"/>
  <c r="T22" i="12"/>
  <c r="T15" i="12"/>
  <c r="T12" i="12"/>
  <c r="G19" i="13" l="1"/>
  <c r="H49" i="12"/>
  <c r="H10" i="13"/>
  <c r="B19" i="13"/>
  <c r="J59" i="16"/>
  <c r="J60" i="16" s="1"/>
  <c r="T34" i="12"/>
  <c r="T36" i="12" s="1"/>
  <c r="T43" i="12" s="1"/>
  <c r="T44" i="12" s="1"/>
  <c r="T31" i="12"/>
  <c r="T32" i="12" s="1"/>
  <c r="C46" i="12"/>
  <c r="C49" i="12" s="1"/>
  <c r="S30" i="12"/>
  <c r="S51" i="12"/>
  <c r="S48" i="12"/>
  <c r="S38" i="12"/>
  <c r="S29" i="12"/>
  <c r="S28" i="12"/>
  <c r="S27" i="12"/>
  <c r="S25" i="12"/>
  <c r="S24" i="12"/>
  <c r="S22" i="12"/>
  <c r="S12" i="12"/>
  <c r="S15" i="12"/>
  <c r="S34" i="12" s="1"/>
  <c r="J30" i="11"/>
  <c r="I30" i="11"/>
  <c r="H30" i="11"/>
  <c r="G30" i="11"/>
  <c r="F30" i="11"/>
  <c r="E30" i="11"/>
  <c r="D30" i="11"/>
  <c r="D35" i="11" s="1"/>
  <c r="D43" i="11" s="1"/>
  <c r="C30" i="11"/>
  <c r="C35" i="11" s="1"/>
  <c r="C43" i="11" s="1"/>
  <c r="B30" i="11"/>
  <c r="B35" i="11" s="1"/>
  <c r="B43" i="11" s="1"/>
  <c r="E35" i="11"/>
  <c r="E43" i="11" s="1"/>
  <c r="E18" i="11"/>
  <c r="E23" i="11" s="1"/>
  <c r="D18" i="11"/>
  <c r="D23" i="11" s="1"/>
  <c r="C18" i="11"/>
  <c r="C23" i="11" s="1"/>
  <c r="B18" i="11"/>
  <c r="B23" i="11" s="1"/>
  <c r="I48" i="12" l="1"/>
  <c r="H22" i="13"/>
  <c r="H17" i="13" s="1"/>
  <c r="B45" i="11"/>
  <c r="C45" i="11"/>
  <c r="D45" i="11"/>
  <c r="E45" i="11"/>
  <c r="S31" i="12"/>
  <c r="S32" i="12" s="1"/>
  <c r="P61" i="12"/>
  <c r="P37" i="12"/>
  <c r="P60" i="12"/>
  <c r="P57" i="12"/>
  <c r="P33" i="12"/>
  <c r="T46" i="12"/>
  <c r="D48" i="12"/>
  <c r="D10" i="13" s="1"/>
  <c r="C22" i="13"/>
  <c r="C17" i="13" s="1"/>
  <c r="S36" i="12"/>
  <c r="S43" i="12" s="1"/>
  <c r="S44" i="12" s="1"/>
  <c r="J42" i="11"/>
  <c r="I42" i="11"/>
  <c r="H42" i="11"/>
  <c r="G42" i="11"/>
  <c r="F42" i="11"/>
  <c r="J35" i="11"/>
  <c r="I35" i="11"/>
  <c r="H35" i="11"/>
  <c r="G35" i="11"/>
  <c r="F35" i="11"/>
  <c r="J18" i="11"/>
  <c r="J23" i="11" s="1"/>
  <c r="I18" i="11"/>
  <c r="I23" i="11" s="1"/>
  <c r="H18" i="11"/>
  <c r="H23" i="11" s="1"/>
  <c r="G18" i="11"/>
  <c r="G23" i="11" s="1"/>
  <c r="F18" i="11"/>
  <c r="F23" i="11" s="1"/>
  <c r="N34" i="7"/>
  <c r="N33" i="7"/>
  <c r="N32" i="7"/>
  <c r="N31" i="7"/>
  <c r="N30" i="7"/>
  <c r="N29" i="7"/>
  <c r="N28" i="7"/>
  <c r="N27" i="7"/>
  <c r="N26" i="7"/>
  <c r="N25" i="7"/>
  <c r="N24" i="7"/>
  <c r="N23" i="7"/>
  <c r="N22" i="7"/>
  <c r="N21" i="7"/>
  <c r="N20" i="7"/>
  <c r="N19" i="7"/>
  <c r="N18" i="7"/>
  <c r="N17" i="7"/>
  <c r="N16" i="7"/>
  <c r="N15" i="7"/>
  <c r="N14" i="7"/>
  <c r="N13" i="7"/>
  <c r="N12" i="7"/>
  <c r="N11" i="7"/>
  <c r="H19" i="13" l="1"/>
  <c r="I49" i="12"/>
  <c r="I10" i="13"/>
  <c r="C19" i="13"/>
  <c r="H43" i="11"/>
  <c r="H45" i="11" s="1"/>
  <c r="F43" i="11"/>
  <c r="F45" i="11" s="1"/>
  <c r="S46" i="12"/>
  <c r="D49" i="12"/>
  <c r="D22" i="13" s="1"/>
  <c r="D17" i="13" s="1"/>
  <c r="P49" i="12"/>
  <c r="Q48" i="12" s="1"/>
  <c r="Q49" i="12" s="1"/>
  <c r="I43" i="11"/>
  <c r="I45" i="11" s="1"/>
  <c r="J43" i="11"/>
  <c r="J45" i="11" s="1"/>
  <c r="G43" i="11"/>
  <c r="G45" i="11" s="1"/>
  <c r="I22" i="13" l="1"/>
  <c r="C25" i="14" s="1"/>
  <c r="J48" i="12"/>
  <c r="J49" i="12" s="1"/>
  <c r="D19" i="13"/>
  <c r="I17" i="13"/>
  <c r="E48" i="12"/>
  <c r="E10" i="13" s="1"/>
  <c r="S49" i="12"/>
  <c r="D21" i="9"/>
  <c r="C21" i="9"/>
  <c r="I19" i="13" l="1"/>
  <c r="C20" i="14"/>
  <c r="E49" i="12"/>
  <c r="E22" i="13" s="1"/>
  <c r="B25" i="14" s="1"/>
  <c r="S52" i="12"/>
  <c r="T48" i="12"/>
  <c r="T49" i="12" s="1"/>
  <c r="G13" i="2"/>
  <c r="D4" i="2"/>
  <c r="C4" i="2"/>
  <c r="B4" i="2"/>
  <c r="C3" i="2"/>
  <c r="B3" i="2"/>
  <c r="D3" i="2"/>
  <c r="Q24" i="7"/>
  <c r="I33" i="7"/>
  <c r="H33" i="7"/>
  <c r="G33" i="7"/>
  <c r="F33" i="7"/>
  <c r="I21" i="7"/>
  <c r="G21" i="7"/>
  <c r="I20" i="7"/>
  <c r="H20" i="7"/>
  <c r="G20" i="7"/>
  <c r="F20" i="7"/>
  <c r="I19" i="7"/>
  <c r="I16" i="7"/>
  <c r="G16" i="7"/>
  <c r="F16" i="7"/>
  <c r="J21" i="7"/>
  <c r="J20" i="7"/>
  <c r="J19" i="7"/>
  <c r="J16" i="7"/>
  <c r="J46" i="8"/>
  <c r="I46" i="8"/>
  <c r="H21" i="7" s="1"/>
  <c r="H46" i="8"/>
  <c r="G46" i="8"/>
  <c r="F21" i="7" s="1"/>
  <c r="J40" i="8"/>
  <c r="I40" i="8"/>
  <c r="H19" i="7" s="1"/>
  <c r="H40" i="8"/>
  <c r="G19" i="7" s="1"/>
  <c r="J30" i="8"/>
  <c r="I30" i="8"/>
  <c r="H16" i="7" s="1"/>
  <c r="H30" i="8"/>
  <c r="G30" i="8"/>
  <c r="E56" i="8"/>
  <c r="D56" i="8"/>
  <c r="C56" i="8"/>
  <c r="E53" i="8"/>
  <c r="D53" i="8"/>
  <c r="C53" i="8"/>
  <c r="E52" i="8"/>
  <c r="D52" i="8"/>
  <c r="C52" i="8"/>
  <c r="K46" i="8"/>
  <c r="E46" i="8"/>
  <c r="D46" i="8"/>
  <c r="C46" i="8"/>
  <c r="E43" i="8"/>
  <c r="D43" i="8"/>
  <c r="C43" i="8"/>
  <c r="E40" i="8"/>
  <c r="D40" i="8"/>
  <c r="C40" i="8"/>
  <c r="E37" i="8"/>
  <c r="D37" i="8"/>
  <c r="C37" i="8"/>
  <c r="E33" i="8"/>
  <c r="D33" i="8"/>
  <c r="C33" i="8"/>
  <c r="K30" i="8"/>
  <c r="E30" i="8"/>
  <c r="D30" i="8"/>
  <c r="C30" i="8"/>
  <c r="E27" i="8"/>
  <c r="D27" i="8"/>
  <c r="C27" i="8"/>
  <c r="E24" i="8"/>
  <c r="D24" i="8"/>
  <c r="C24" i="8"/>
  <c r="E21" i="8"/>
  <c r="D21" i="8"/>
  <c r="C21" i="8"/>
  <c r="E18" i="8"/>
  <c r="D18" i="8"/>
  <c r="D25" i="8" s="1"/>
  <c r="C18" i="8"/>
  <c r="K40" i="8"/>
  <c r="F10" i="8"/>
  <c r="E10" i="8"/>
  <c r="D10" i="8"/>
  <c r="C10" i="8"/>
  <c r="B10" i="8"/>
  <c r="D36" i="7"/>
  <c r="C36" i="7"/>
  <c r="B36" i="7"/>
  <c r="J33" i="7"/>
  <c r="E26" i="7"/>
  <c r="E36" i="7" s="1"/>
  <c r="E25" i="7"/>
  <c r="E27" i="7" s="1"/>
  <c r="E24" i="7"/>
  <c r="E23" i="7"/>
  <c r="E22" i="7"/>
  <c r="E21" i="7"/>
  <c r="E20" i="7"/>
  <c r="E19" i="7"/>
  <c r="E18" i="7"/>
  <c r="E17" i="7"/>
  <c r="E16" i="7"/>
  <c r="E15" i="7"/>
  <c r="E14" i="7"/>
  <c r="E13" i="7"/>
  <c r="E11" i="7"/>
  <c r="E17" i="13" l="1"/>
  <c r="C28" i="8"/>
  <c r="D54" i="8"/>
  <c r="E16" i="8"/>
  <c r="E25" i="8"/>
  <c r="T52" i="12"/>
  <c r="U48" i="12"/>
  <c r="U49" i="12" s="1"/>
  <c r="Q16" i="7"/>
  <c r="Q21" i="7"/>
  <c r="C41" i="8"/>
  <c r="E22" i="8"/>
  <c r="C25" i="8"/>
  <c r="C22" i="8"/>
  <c r="D41" i="8"/>
  <c r="D47" i="8"/>
  <c r="C54" i="8"/>
  <c r="C16" i="8"/>
  <c r="D31" i="8"/>
  <c r="C31" i="8"/>
  <c r="Q20" i="7"/>
  <c r="D22" i="8"/>
  <c r="E28" i="8"/>
  <c r="E31" i="8"/>
  <c r="C35" i="8"/>
  <c r="E38" i="8"/>
  <c r="E41" i="8"/>
  <c r="E47" i="8"/>
  <c r="C57" i="8"/>
  <c r="D35" i="8"/>
  <c r="E35" i="8"/>
  <c r="E54" i="8"/>
  <c r="D57" i="8"/>
  <c r="E34" i="8"/>
  <c r="C38" i="8"/>
  <c r="C47" i="8"/>
  <c r="E57" i="8"/>
  <c r="G40" i="8"/>
  <c r="F19" i="7" s="1"/>
  <c r="Q19" i="7" s="1"/>
  <c r="C34" i="8"/>
  <c r="D16" i="8"/>
  <c r="D34" i="8"/>
  <c r="D28" i="8"/>
  <c r="D38" i="8"/>
  <c r="E19" i="13" l="1"/>
  <c r="E17" i="8"/>
  <c r="G16" i="8"/>
  <c r="D17" i="8"/>
  <c r="U52" i="12"/>
  <c r="V48" i="12"/>
  <c r="I53" i="6"/>
  <c r="H53" i="6"/>
  <c r="G53" i="6"/>
  <c r="E53" i="6"/>
  <c r="D53" i="6"/>
  <c r="I50" i="6"/>
  <c r="H50" i="6"/>
  <c r="G50" i="6"/>
  <c r="E50" i="6"/>
  <c r="D50" i="6"/>
  <c r="I49" i="6"/>
  <c r="H49" i="6"/>
  <c r="G49" i="6"/>
  <c r="E49" i="6"/>
  <c r="D49" i="6"/>
  <c r="C53" i="6"/>
  <c r="C50" i="6"/>
  <c r="C49" i="6"/>
  <c r="H50" i="4"/>
  <c r="G50" i="4"/>
  <c r="F50" i="4"/>
  <c r="D50" i="4"/>
  <c r="C50" i="4"/>
  <c r="B50" i="4"/>
  <c r="I46" i="6"/>
  <c r="H46" i="6"/>
  <c r="G46" i="6"/>
  <c r="E46" i="6"/>
  <c r="D46" i="6"/>
  <c r="I43" i="6"/>
  <c r="H43" i="6"/>
  <c r="G43" i="6"/>
  <c r="E43" i="6"/>
  <c r="D43" i="6"/>
  <c r="I40" i="6"/>
  <c r="H40" i="6"/>
  <c r="G40" i="6"/>
  <c r="E40" i="6"/>
  <c r="D40" i="6"/>
  <c r="H16" i="8" l="1"/>
  <c r="I16" i="8" s="1"/>
  <c r="J16" i="8" s="1"/>
  <c r="G18" i="8"/>
  <c r="H18" i="8"/>
  <c r="D51" i="6"/>
  <c r="C51" i="6"/>
  <c r="E51" i="6"/>
  <c r="I51" i="6"/>
  <c r="H51" i="6"/>
  <c r="G51" i="6"/>
  <c r="I37" i="6"/>
  <c r="H37" i="6"/>
  <c r="G37" i="6"/>
  <c r="E37" i="6"/>
  <c r="D37" i="6"/>
  <c r="I33" i="6"/>
  <c r="H33" i="6"/>
  <c r="G33" i="6"/>
  <c r="E33" i="6"/>
  <c r="D33" i="6"/>
  <c r="I30" i="6"/>
  <c r="H30" i="6"/>
  <c r="G30" i="6"/>
  <c r="E30" i="6"/>
  <c r="D30" i="6"/>
  <c r="I27" i="6"/>
  <c r="H27" i="6"/>
  <c r="G27" i="6"/>
  <c r="E27" i="6"/>
  <c r="D27" i="6"/>
  <c r="C46" i="6"/>
  <c r="C43" i="6"/>
  <c r="C40" i="6"/>
  <c r="C37" i="6"/>
  <c r="C33" i="6"/>
  <c r="C30" i="6"/>
  <c r="C27" i="6"/>
  <c r="I24" i="6"/>
  <c r="H24" i="6"/>
  <c r="G24" i="6"/>
  <c r="E24" i="6"/>
  <c r="D24" i="6"/>
  <c r="C24" i="6"/>
  <c r="I21" i="6"/>
  <c r="H21" i="6"/>
  <c r="G21" i="6"/>
  <c r="E21" i="6"/>
  <c r="D21" i="6"/>
  <c r="C21" i="6"/>
  <c r="I18" i="6"/>
  <c r="H18" i="6"/>
  <c r="G18" i="6"/>
  <c r="E18" i="6"/>
  <c r="E54" i="6" s="1"/>
  <c r="D18" i="6"/>
  <c r="D54" i="6" s="1"/>
  <c r="C18" i="6"/>
  <c r="C54" i="6" s="1"/>
  <c r="C10" i="6"/>
  <c r="D10" i="6"/>
  <c r="D47" i="6" s="1"/>
  <c r="E10" i="6"/>
  <c r="E47" i="6" s="1"/>
  <c r="F10" i="6"/>
  <c r="G10" i="6"/>
  <c r="G4" i="8" s="1"/>
  <c r="H10" i="6"/>
  <c r="I10" i="6"/>
  <c r="J10" i="6"/>
  <c r="B10" i="6"/>
  <c r="G33" i="8" l="1"/>
  <c r="F17" i="7" s="1"/>
  <c r="G37" i="8"/>
  <c r="F18" i="7" s="1"/>
  <c r="G21" i="8"/>
  <c r="F13" i="7" s="1"/>
  <c r="G27" i="8"/>
  <c r="F15" i="7" s="1"/>
  <c r="G24" i="8"/>
  <c r="F14" i="7" s="1"/>
  <c r="F11" i="7"/>
  <c r="H41" i="6"/>
  <c r="H4" i="8"/>
  <c r="I54" i="6"/>
  <c r="I3" i="8"/>
  <c r="J4" i="8"/>
  <c r="G54" i="6"/>
  <c r="G3" i="8"/>
  <c r="I47" i="6"/>
  <c r="I4" i="8"/>
  <c r="H54" i="6"/>
  <c r="H3" i="8"/>
  <c r="I18" i="8"/>
  <c r="G11" i="7"/>
  <c r="H37" i="8"/>
  <c r="G18" i="7" s="1"/>
  <c r="H27" i="8"/>
  <c r="G15" i="7" s="1"/>
  <c r="H33" i="8"/>
  <c r="H24" i="8"/>
  <c r="G14" i="7" s="1"/>
  <c r="H21" i="8"/>
  <c r="G13" i="7" s="1"/>
  <c r="G41" i="6"/>
  <c r="E41" i="6"/>
  <c r="D41" i="6"/>
  <c r="C47" i="6"/>
  <c r="H47" i="6"/>
  <c r="G47" i="6"/>
  <c r="C41" i="6"/>
  <c r="G35" i="6"/>
  <c r="D38" i="6"/>
  <c r="H38" i="6"/>
  <c r="I41" i="6"/>
  <c r="D35" i="6"/>
  <c r="H35" i="6"/>
  <c r="C35" i="6"/>
  <c r="E35" i="6"/>
  <c r="I35" i="6"/>
  <c r="D28" i="6"/>
  <c r="H28" i="6"/>
  <c r="C28" i="6"/>
  <c r="C31" i="6"/>
  <c r="C34" i="6"/>
  <c r="C38" i="6"/>
  <c r="D34" i="6"/>
  <c r="E22" i="6"/>
  <c r="I22" i="6"/>
  <c r="E28" i="6"/>
  <c r="I28" i="6"/>
  <c r="E31" i="6"/>
  <c r="I31" i="6"/>
  <c r="E34" i="6"/>
  <c r="I34" i="6"/>
  <c r="E38" i="6"/>
  <c r="I38" i="6"/>
  <c r="H31" i="6"/>
  <c r="D31" i="6"/>
  <c r="H34" i="6"/>
  <c r="G28" i="6"/>
  <c r="G31" i="6"/>
  <c r="G34" i="6"/>
  <c r="G38" i="6"/>
  <c r="D16" i="6"/>
  <c r="H16" i="6"/>
  <c r="D25" i="6"/>
  <c r="E16" i="6"/>
  <c r="C22" i="6"/>
  <c r="G22" i="6"/>
  <c r="H25" i="6"/>
  <c r="I16" i="6"/>
  <c r="I15" i="6" s="1"/>
  <c r="D22" i="6"/>
  <c r="H22" i="6"/>
  <c r="C25" i="6"/>
  <c r="C16" i="6"/>
  <c r="G16" i="6"/>
  <c r="E25" i="6"/>
  <c r="I25" i="6"/>
  <c r="G25" i="6"/>
  <c r="I27" i="4"/>
  <c r="I26" i="4"/>
  <c r="J49" i="6" s="1"/>
  <c r="I25" i="4"/>
  <c r="I23" i="4"/>
  <c r="I22" i="4"/>
  <c r="I21" i="4"/>
  <c r="J46" i="6" s="1"/>
  <c r="J47" i="6" s="1"/>
  <c r="I20" i="4"/>
  <c r="J43" i="6" s="1"/>
  <c r="I19" i="4"/>
  <c r="J40" i="6" s="1"/>
  <c r="J41" i="6" s="1"/>
  <c r="I18" i="4"/>
  <c r="J37" i="6" s="1"/>
  <c r="I17" i="4"/>
  <c r="J33" i="6" s="1"/>
  <c r="I16" i="4"/>
  <c r="J30" i="6" s="1"/>
  <c r="J31" i="6" s="1"/>
  <c r="I15" i="4"/>
  <c r="J27" i="6" s="1"/>
  <c r="I14" i="4"/>
  <c r="J24" i="6" s="1"/>
  <c r="I13" i="4"/>
  <c r="J21" i="6" s="1"/>
  <c r="I11" i="4"/>
  <c r="J18" i="6" s="1"/>
  <c r="J3" i="8" s="1"/>
  <c r="E27" i="4"/>
  <c r="E26" i="4"/>
  <c r="E25" i="4"/>
  <c r="E23" i="4"/>
  <c r="E22" i="4"/>
  <c r="E21" i="4"/>
  <c r="E20" i="4"/>
  <c r="E19" i="4"/>
  <c r="E18" i="4"/>
  <c r="E17" i="4"/>
  <c r="E16" i="4"/>
  <c r="E15" i="4"/>
  <c r="E14" i="4"/>
  <c r="E13" i="4"/>
  <c r="E11" i="4"/>
  <c r="J22" i="6" l="1"/>
  <c r="J35" i="6"/>
  <c r="J38" i="6"/>
  <c r="J28" i="6"/>
  <c r="J25" i="6"/>
  <c r="G52" i="8"/>
  <c r="G53" i="8" s="1"/>
  <c r="G54" i="8" s="1"/>
  <c r="J61" i="6"/>
  <c r="G19" i="6" s="1"/>
  <c r="J16" i="6"/>
  <c r="J17" i="6" s="1"/>
  <c r="F43" i="8"/>
  <c r="F43" i="6"/>
  <c r="F18" i="8"/>
  <c r="F18" i="6"/>
  <c r="F33" i="8"/>
  <c r="F33" i="6"/>
  <c r="V15" i="12"/>
  <c r="V34" i="12" s="1"/>
  <c r="V36" i="12" s="1"/>
  <c r="V43" i="12" s="1"/>
  <c r="V44" i="12" s="1"/>
  <c r="F46" i="8"/>
  <c r="F47" i="8" s="1"/>
  <c r="F46" i="6"/>
  <c r="F47" i="6" s="1"/>
  <c r="I29" i="4"/>
  <c r="J53" i="6" s="1"/>
  <c r="J54" i="6" s="1"/>
  <c r="I50" i="4"/>
  <c r="J50" i="6"/>
  <c r="J51" i="6" s="1"/>
  <c r="F22" i="7"/>
  <c r="F23" i="7" s="1"/>
  <c r="F25" i="7" s="1"/>
  <c r="F24" i="8"/>
  <c r="F24" i="6"/>
  <c r="F37" i="8"/>
  <c r="F38" i="8" s="1"/>
  <c r="F37" i="6"/>
  <c r="E29" i="4"/>
  <c r="F53" i="8"/>
  <c r="E50" i="4"/>
  <c r="F50" i="6"/>
  <c r="H15" i="6"/>
  <c r="J34" i="6"/>
  <c r="F30" i="8"/>
  <c r="F31" i="8" s="1"/>
  <c r="F30" i="6"/>
  <c r="F31" i="6" s="1"/>
  <c r="F21" i="8"/>
  <c r="F21" i="6"/>
  <c r="F52" i="8"/>
  <c r="F49" i="6"/>
  <c r="F27" i="8"/>
  <c r="F27" i="6"/>
  <c r="F40" i="8"/>
  <c r="F41" i="8" s="1"/>
  <c r="F40" i="6"/>
  <c r="F41" i="6" s="1"/>
  <c r="K15" i="6"/>
  <c r="G15" i="6"/>
  <c r="M3" i="8"/>
  <c r="J18" i="8"/>
  <c r="J17" i="8"/>
  <c r="I33" i="8"/>
  <c r="I21" i="8"/>
  <c r="H13" i="7" s="1"/>
  <c r="I27" i="8"/>
  <c r="H15" i="7" s="1"/>
  <c r="I37" i="8"/>
  <c r="H18" i="7" s="1"/>
  <c r="H11" i="7"/>
  <c r="I24" i="8"/>
  <c r="H14" i="7" s="1"/>
  <c r="H34" i="8"/>
  <c r="G17" i="7"/>
  <c r="G22" i="7" s="1"/>
  <c r="H52" i="8"/>
  <c r="F26" i="7"/>
  <c r="F27" i="7" s="1"/>
  <c r="H19" i="6"/>
  <c r="I19" i="6"/>
  <c r="F28" i="8" l="1"/>
  <c r="F22" i="8"/>
  <c r="F25" i="8"/>
  <c r="J19" i="6"/>
  <c r="G56" i="8"/>
  <c r="G57" i="8" s="1"/>
  <c r="F28" i="6"/>
  <c r="F22" i="6"/>
  <c r="F25" i="6"/>
  <c r="F38" i="6"/>
  <c r="F16" i="6"/>
  <c r="F61" i="6"/>
  <c r="F54" i="8"/>
  <c r="F16" i="8"/>
  <c r="F64" i="8"/>
  <c r="F19" i="8" s="1"/>
  <c r="V12" i="12"/>
  <c r="V31" i="12" s="1"/>
  <c r="V32" i="12" s="1"/>
  <c r="V46" i="12" s="1"/>
  <c r="V49" i="12" s="1"/>
  <c r="V52" i="12" s="1"/>
  <c r="F56" i="8"/>
  <c r="F57" i="8" s="1"/>
  <c r="F53" i="6"/>
  <c r="F54" i="6" s="1"/>
  <c r="F35" i="6"/>
  <c r="F34" i="6"/>
  <c r="F51" i="6"/>
  <c r="F35" i="8"/>
  <c r="F34" i="8"/>
  <c r="M18" i="8"/>
  <c r="N18" i="8" s="1"/>
  <c r="I52" i="8"/>
  <c r="I53" i="8" s="1"/>
  <c r="I54" i="8" s="1"/>
  <c r="I34" i="8"/>
  <c r="H17" i="7"/>
  <c r="H22" i="7" s="1"/>
  <c r="H23" i="7" s="1"/>
  <c r="H25" i="7" s="1"/>
  <c r="I11" i="7"/>
  <c r="J33" i="8"/>
  <c r="J37" i="8"/>
  <c r="I18" i="7" s="1"/>
  <c r="Q18" i="7" s="1"/>
  <c r="J21" i="8"/>
  <c r="I13" i="7" s="1"/>
  <c r="Q13" i="7" s="1"/>
  <c r="J24" i="8"/>
  <c r="I14" i="7" s="1"/>
  <c r="Q14" i="7" s="1"/>
  <c r="J27" i="8"/>
  <c r="I15" i="7" s="1"/>
  <c r="Q15" i="7" s="1"/>
  <c r="G23" i="7"/>
  <c r="G25" i="7" s="1"/>
  <c r="F29" i="7"/>
  <c r="F30" i="7"/>
  <c r="H53" i="8"/>
  <c r="H54" i="8" s="1"/>
  <c r="F36" i="7"/>
  <c r="C19" i="6" l="1"/>
  <c r="F19" i="6"/>
  <c r="D19" i="6"/>
  <c r="E19" i="6"/>
  <c r="E19" i="8"/>
  <c r="C19" i="8"/>
  <c r="D19" i="8"/>
  <c r="F17" i="6"/>
  <c r="I17" i="6"/>
  <c r="G17" i="6"/>
  <c r="J15" i="6"/>
  <c r="H17" i="6"/>
  <c r="F17" i="8"/>
  <c r="K16" i="8" s="1"/>
  <c r="K18" i="8" s="1"/>
  <c r="G17" i="8"/>
  <c r="H17" i="8"/>
  <c r="I17" i="8"/>
  <c r="I56" i="8"/>
  <c r="I57" i="8" s="1"/>
  <c r="J34" i="8"/>
  <c r="I17" i="7"/>
  <c r="H26" i="7"/>
  <c r="H36" i="7" s="1"/>
  <c r="Q11" i="7"/>
  <c r="J52" i="8"/>
  <c r="G26" i="7"/>
  <c r="G27" i="7" s="1"/>
  <c r="H56" i="8"/>
  <c r="H57" i="8" s="1"/>
  <c r="J22" i="4"/>
  <c r="J23" i="4" s="1"/>
  <c r="J26" i="4" s="1"/>
  <c r="K37" i="8" l="1"/>
  <c r="J18" i="7" s="1"/>
  <c r="J11" i="7"/>
  <c r="K27" i="8"/>
  <c r="J15" i="7" s="1"/>
  <c r="K24" i="8"/>
  <c r="J14" i="7" s="1"/>
  <c r="K33" i="8"/>
  <c r="K21" i="8"/>
  <c r="J13" i="7" s="1"/>
  <c r="I22" i="7"/>
  <c r="Q17" i="7"/>
  <c r="J53" i="8"/>
  <c r="J54" i="8" s="1"/>
  <c r="H27" i="7"/>
  <c r="G30" i="7"/>
  <c r="G29" i="7"/>
  <c r="G36" i="7"/>
  <c r="J29" i="4" l="1"/>
  <c r="J18" i="15"/>
  <c r="K52" i="8"/>
  <c r="K53" i="8" s="1"/>
  <c r="K54" i="8" s="1"/>
  <c r="K34" i="8"/>
  <c r="J17" i="7"/>
  <c r="J22" i="7" s="1"/>
  <c r="J23" i="7" s="1"/>
  <c r="J25" i="7" s="1"/>
  <c r="J56" i="8"/>
  <c r="J57" i="8" s="1"/>
  <c r="H29" i="7"/>
  <c r="H30" i="7"/>
  <c r="I23" i="7"/>
  <c r="Q22" i="7"/>
  <c r="J50" i="4"/>
  <c r="K17" i="8"/>
  <c r="J64" i="8"/>
  <c r="J44" i="4" l="1"/>
  <c r="J20" i="15"/>
  <c r="J27" i="19" s="1"/>
  <c r="R18" i="19"/>
  <c r="J43" i="4"/>
  <c r="J26" i="7"/>
  <c r="J36" i="7" s="1"/>
  <c r="K56" i="8"/>
  <c r="K57" i="8" s="1"/>
  <c r="I2" i="8"/>
  <c r="H2" i="8"/>
  <c r="G2" i="8"/>
  <c r="J2" i="8"/>
  <c r="G19" i="8"/>
  <c r="H19" i="8"/>
  <c r="I19" i="8"/>
  <c r="J19" i="8"/>
  <c r="I25" i="7"/>
  <c r="Q23" i="7"/>
  <c r="R20" i="19" l="1"/>
  <c r="S18" i="19"/>
  <c r="S20" i="19" s="1"/>
  <c r="J27" i="7"/>
  <c r="J29" i="7" s="1"/>
  <c r="J30" i="7"/>
  <c r="I26" i="7"/>
  <c r="I27" i="7" s="1"/>
  <c r="Q25" i="7"/>
  <c r="I29" i="7" l="1"/>
  <c r="I30" i="7"/>
  <c r="Q27" i="7"/>
  <c r="I36" i="7"/>
  <c r="Q26" i="7"/>
  <c r="K54" i="22"/>
  <c r="K22" i="20"/>
  <c r="K15" i="21" s="1"/>
  <c r="R22" i="20" l="1"/>
  <c r="R26" i="20" s="1"/>
  <c r="R30" i="20" s="1"/>
  <c r="J15" i="21"/>
  <c r="J14" i="23" s="1"/>
  <c r="Q14" i="23" s="1"/>
  <c r="K26" i="20"/>
  <c r="K30" i="20" s="1"/>
  <c r="K19" i="21"/>
  <c r="K29" i="21" s="1"/>
  <c r="K32" i="21" s="1"/>
  <c r="K21" i="23" s="1"/>
  <c r="K14" i="23"/>
  <c r="P15" i="21" l="1"/>
  <c r="R15" i="21" s="1"/>
  <c r="R19" i="21" s="1"/>
  <c r="R29" i="21" s="1"/>
  <c r="R32" i="21" s="1"/>
  <c r="J19" i="21"/>
  <c r="J29" i="21" s="1"/>
  <c r="J32" i="21" s="1"/>
  <c r="K10" i="20" s="1"/>
  <c r="K17" i="23"/>
  <c r="K19" i="23" s="1"/>
  <c r="T22" i="20"/>
  <c r="T26" i="20" s="1"/>
  <c r="T30" i="20" s="1"/>
  <c r="P19" i="21"/>
  <c r="P29" i="21" s="1"/>
  <c r="P32" i="21" s="1"/>
  <c r="N10" i="20" s="1"/>
  <c r="N13" i="20" s="1"/>
  <c r="N19" i="20" s="1"/>
  <c r="N33" i="20" s="1"/>
  <c r="S14" i="23"/>
  <c r="J21" i="23" l="1"/>
  <c r="Q21" i="23" s="1"/>
  <c r="K69" i="22"/>
  <c r="M8" i="24"/>
  <c r="K39" i="20"/>
  <c r="O8" i="24" s="1"/>
  <c r="K13" i="20"/>
  <c r="K19" i="20" s="1"/>
  <c r="K33" i="20" s="1"/>
  <c r="K38" i="20"/>
  <c r="N8" i="24" s="1"/>
  <c r="R10" i="20"/>
  <c r="J17" i="23" l="1"/>
  <c r="J19" i="23" s="1"/>
  <c r="T10" i="20"/>
  <c r="T13" i="20" s="1"/>
  <c r="T19" i="20" s="1"/>
  <c r="T33" i="20" s="1"/>
  <c r="R13" i="20"/>
  <c r="R19" i="20" s="1"/>
  <c r="R33" i="20" s="1"/>
  <c r="Q17" i="23" l="1"/>
  <c r="Q19" i="23" s="1"/>
  <c r="S17" i="23"/>
  <c r="S19" i="23" s="1"/>
  <c r="S21" i="23" s="1"/>
</calcChain>
</file>

<file path=xl/sharedStrings.xml><?xml version="1.0" encoding="utf-8"?>
<sst xmlns="http://schemas.openxmlformats.org/spreadsheetml/2006/main" count="1399" uniqueCount="272">
  <si>
    <t>Chuy's Holdings, Inc.</t>
  </si>
  <si>
    <t/>
  </si>
  <si>
    <t>Unaudited Condensed Consolidated Income Statements</t>
  </si>
  <si>
    <t>(In thousands, except share and per share data)</t>
  </si>
  <si>
    <t>Revenue</t>
  </si>
  <si>
    <t>Costs and expenses:</t>
  </si>
  <si>
    <t>Cost of sales</t>
  </si>
  <si>
    <t>Labor</t>
  </si>
  <si>
    <t>Operating</t>
  </si>
  <si>
    <t>Occupancy</t>
  </si>
  <si>
    <t>General and administrative</t>
  </si>
  <si>
    <t>Marketing</t>
  </si>
  <si>
    <t>Restaurant pre-opening</t>
  </si>
  <si>
    <t>Depreciation and amortization</t>
  </si>
  <si>
    <t>Total costs and expenses</t>
  </si>
  <si>
    <t>Income from operations</t>
  </si>
  <si>
    <t>Interest expense, net</t>
  </si>
  <si>
    <t>Income before income taxes</t>
  </si>
  <si>
    <t>Income tax expense</t>
  </si>
  <si>
    <t>Net income</t>
  </si>
  <si>
    <t>Net income per common share:</t>
  </si>
  <si>
    <t>Basic</t>
  </si>
  <si>
    <t>Diluted</t>
  </si>
  <si>
    <t>Weighted-average shares outstanding:</t>
  </si>
  <si>
    <t>CHUY'S HOLDINGS, INC.</t>
  </si>
  <si>
    <t>Consolidated Statements of Income</t>
  </si>
  <si>
    <t>Fiscal Year Ended</t>
  </si>
  <si>
    <t>December 25,</t>
  </si>
  <si>
    <t>December 27,</t>
  </si>
  <si>
    <t>December 28,</t>
  </si>
  <si>
    <t>Impairment and closure costs</t>
  </si>
  <si>
    <t>Closure</t>
  </si>
  <si>
    <t>Test</t>
  </si>
  <si>
    <t>Dec</t>
  </si>
  <si>
    <t>2015</t>
  </si>
  <si>
    <t>13 weeks</t>
  </si>
  <si>
    <t>Mar</t>
  </si>
  <si>
    <t>Jun</t>
  </si>
  <si>
    <t>Sep</t>
  </si>
  <si>
    <t>2016</t>
  </si>
  <si>
    <t>Total restaurants (at end of period)</t>
  </si>
  <si>
    <t>Total comparable restaurants (at end of period)</t>
  </si>
  <si>
    <t>Average unit volumes (in thousands)</t>
  </si>
  <si>
    <t>Change in comparable restaurant sales</t>
  </si>
  <si>
    <t>Average check</t>
  </si>
  <si>
    <t>full year</t>
  </si>
  <si>
    <t>convert to qtr?</t>
  </si>
  <si>
    <t>New stores</t>
  </si>
  <si>
    <t>Closed stores</t>
  </si>
  <si>
    <t>Ending store count</t>
  </si>
  <si>
    <t>2017</t>
  </si>
  <si>
    <t>Forecast</t>
  </si>
  <si>
    <t>Revenues</t>
  </si>
  <si>
    <t>Average revenue per store</t>
  </si>
  <si>
    <t>% of annual calendar revenues</t>
  </si>
  <si>
    <t>annual</t>
  </si>
  <si>
    <t>% of revenues</t>
  </si>
  <si>
    <t>Per store</t>
  </si>
  <si>
    <t>Chuy's</t>
  </si>
  <si>
    <t>Assumptions Summary</t>
  </si>
  <si>
    <t>Per new store</t>
  </si>
  <si>
    <t>Tax as % of pretax</t>
  </si>
  <si>
    <t>Income before income tax</t>
  </si>
  <si>
    <t>Income tax</t>
  </si>
  <si>
    <t>% of income before tax</t>
  </si>
  <si>
    <t>Actual</t>
  </si>
  <si>
    <t>Comparable store change</t>
  </si>
  <si>
    <t>Trailing four quarter average per store</t>
  </si>
  <si>
    <t>Interest</t>
  </si>
  <si>
    <t>forecast</t>
  </si>
  <si>
    <t>actual</t>
  </si>
  <si>
    <t>Change in average rev per store YOY</t>
  </si>
  <si>
    <t>Created by EDGAR Online, Inc.</t>
  </si>
  <si>
    <t>TABLE6</t>
  </si>
  <si>
    <t>Form Type: 10-K</t>
  </si>
  <si>
    <t>Period End: Dec 25, 2016</t>
  </si>
  <si>
    <t>Date Filed: Mar 10, 2017</t>
  </si>
  <si>
    <t>Table Of Contents</t>
  </si>
  <si>
    <t>Year Ended</t>
  </si>
  <si>
    <t>Trailing two quarter average per store</t>
  </si>
  <si>
    <t>locations at end of period</t>
  </si>
  <si>
    <t>Average rev per below</t>
  </si>
  <si>
    <t>2017 big pic est</t>
  </si>
  <si>
    <t>Change in average ticket</t>
  </si>
  <si>
    <t>Consolidated Balance Sheets</t>
  </si>
  <si>
    <t>Current assets:</t>
  </si>
  <si>
    <t>Cash and cash equivalents</t>
  </si>
  <si>
    <t>Accounts receivable</t>
  </si>
  <si>
    <t>Lease incentives receivable</t>
  </si>
  <si>
    <t>Inventories</t>
  </si>
  <si>
    <t>Income tax receivable</t>
  </si>
  <si>
    <t>Prepaid expenses and other current assets</t>
  </si>
  <si>
    <t>Total current assets</t>
  </si>
  <si>
    <t>Property and equipment, net</t>
  </si>
  <si>
    <t>Other assets and intangible assets, net</t>
  </si>
  <si>
    <t>Trade name</t>
  </si>
  <si>
    <t>Goodwill</t>
  </si>
  <si>
    <t>Total assets</t>
  </si>
  <si>
    <t>Current liabilities:</t>
  </si>
  <si>
    <t>Accounts payable</t>
  </si>
  <si>
    <t>Accrued liabilities</t>
  </si>
  <si>
    <t>Deferred lease incentives</t>
  </si>
  <si>
    <t>Total current liabilities</t>
  </si>
  <si>
    <t>Deferred tax liability, net</t>
  </si>
  <si>
    <t>Accrued deferred rent</t>
  </si>
  <si>
    <t>Deferred lease incentives, less current portion</t>
  </si>
  <si>
    <t>Long-term debt</t>
  </si>
  <si>
    <t>Total liabilities</t>
  </si>
  <si>
    <t>Paid-in capital</t>
  </si>
  <si>
    <t>Retained earnings</t>
  </si>
  <si>
    <t>Total stockholders' equity</t>
  </si>
  <si>
    <t>Total liabilities and stockholders' equity</t>
  </si>
  <si>
    <t>2014</t>
  </si>
  <si>
    <t>slim this down maybe</t>
  </si>
  <si>
    <t>Current deferred tax liability</t>
  </si>
  <si>
    <t>Cash flows from operating activities:</t>
  </si>
  <si>
    <t>Adjustments to reconcile net income to net cash provided by</t>
  </si>
  <si>
    <t>operating activities:</t>
  </si>
  <si>
    <t>Amortization of loan origination costs</t>
  </si>
  <si>
    <t>Stock-based compensation</t>
  </si>
  <si>
    <t>Excess tax benefit from stock-based compensation</t>
  </si>
  <si>
    <t>Loss on disposal of property and equipment</t>
  </si>
  <si>
    <t>Amortization of deferred lease incentives</t>
  </si>
  <si>
    <t>Deferred income taxes</t>
  </si>
  <si>
    <t>Changes in operating assets and liabilities:</t>
  </si>
  <si>
    <t>Accrued liabilities and deferred rent</t>
  </si>
  <si>
    <t>Net cash provided by operating activities</t>
  </si>
  <si>
    <t>Cash flows from investing activities:</t>
  </si>
  <si>
    <t>Purchase of property and equipment</t>
  </si>
  <si>
    <t>Purchase of other assets</t>
  </si>
  <si>
    <t>Net cash used in investing activities</t>
  </si>
  <si>
    <t>Cash flows from financing activities:</t>
  </si>
  <si>
    <t>Borrowings under revolving line of credit</t>
  </si>
  <si>
    <t>Payments under revolving line of credit</t>
  </si>
  <si>
    <t>Proceeds from the exercise of stock options</t>
  </si>
  <si>
    <t>Indirect repurchase of shares for minimum tax withholdings</t>
  </si>
  <si>
    <t>Net cash used in financing activities</t>
  </si>
  <si>
    <t>Net (decrease) increase in cash and cash equivalents</t>
  </si>
  <si>
    <t>Cash and cash equivalents, beginning of period</t>
  </si>
  <si>
    <t>Cash and cash equivalents, end of period</t>
  </si>
  <si>
    <t>Supplemental disclosure of non-cash investing and financing</t>
  </si>
  <si>
    <t>activities:</t>
  </si>
  <si>
    <t>Property and equipment and other assets acquired by</t>
  </si>
  <si>
    <t>accounts payable</t>
  </si>
  <si>
    <t>Supplemental cash flow disclosures:</t>
  </si>
  <si>
    <t>Cash paid for interest</t>
  </si>
  <si>
    <t>$8</t>
  </si>
  <si>
    <t>Cash paid for income taxes</t>
  </si>
  <si>
    <t>Calc</t>
  </si>
  <si>
    <t>Less depr</t>
  </si>
  <si>
    <t>Prop beg</t>
  </si>
  <si>
    <t>prop end</t>
  </si>
  <si>
    <t>Beginning cash balance</t>
  </si>
  <si>
    <t>Accounts payable and accrued liabilities</t>
  </si>
  <si>
    <t>Capital expenditures</t>
  </si>
  <si>
    <t>Debt</t>
  </si>
  <si>
    <t>Ending cash balance</t>
  </si>
  <si>
    <t>Net cash flow</t>
  </si>
  <si>
    <t>Summary Cash Flow</t>
  </si>
  <si>
    <t>In thousands</t>
  </si>
  <si>
    <t>Loan origination costs</t>
  </si>
  <si>
    <t>Year</t>
  </si>
  <si>
    <t>Common stock</t>
  </si>
  <si>
    <t>Preferred stock</t>
  </si>
  <si>
    <t>Impairment and closure</t>
  </si>
  <si>
    <t>Quarterly Income Statements</t>
  </si>
  <si>
    <t>(Amounts in Thousands)</t>
  </si>
  <si>
    <t>Operating expense</t>
  </si>
  <si>
    <t>All other current assets</t>
  </si>
  <si>
    <t>Inventory and accounts receivable</t>
  </si>
  <si>
    <t>Intangibles and other assets</t>
  </si>
  <si>
    <t>Lease and tax liabilities, less current portion</t>
  </si>
  <si>
    <t>Stockholders' equity</t>
  </si>
  <si>
    <t>Capex per new store</t>
  </si>
  <si>
    <t>Capex per all stores</t>
  </si>
  <si>
    <t>????</t>
  </si>
  <si>
    <t>Borrowings (Payment) under revolving line of credit</t>
  </si>
  <si>
    <t>Lease and tax liabilities, non current</t>
  </si>
  <si>
    <t>All other changes</t>
  </si>
  <si>
    <t>Other changes</t>
  </si>
  <si>
    <t>Quarterly Balance Sheets</t>
  </si>
  <si>
    <t>Quarterly Statement of Cash Flows</t>
  </si>
  <si>
    <t>Summary in Assumptions Format</t>
  </si>
  <si>
    <t>Cash balance</t>
  </si>
  <si>
    <t>Actual net income</t>
  </si>
  <si>
    <t>Actual cash</t>
  </si>
  <si>
    <t>Diff</t>
  </si>
  <si>
    <t>DPO</t>
  </si>
  <si>
    <t>Accounts receivable and inventory</t>
  </si>
  <si>
    <t>DSO/DIO</t>
  </si>
  <si>
    <t>Average daily revenues</t>
  </si>
  <si>
    <t>All other changes, net</t>
  </si>
  <si>
    <t>Actual cash balance</t>
  </si>
  <si>
    <t>avg ticket</t>
  </si>
  <si>
    <t>est trans</t>
  </si>
  <si>
    <t>Trans per store</t>
  </si>
  <si>
    <t>Trans per day per store</t>
  </si>
  <si>
    <t>Basic shares (in thousands)</t>
  </si>
  <si>
    <t>Basic EPS</t>
  </si>
  <si>
    <t>The 2-Minute Summary</t>
  </si>
  <si>
    <t>For the Quarter ending March 2017</t>
  </si>
  <si>
    <t>The 3 Questions to Answer with the Forecast</t>
  </si>
  <si>
    <t>How much money will they make this quarter?</t>
  </si>
  <si>
    <t>Will they need to borrow money during the quarter?</t>
  </si>
  <si>
    <t>What will the 3 largest drivers of cash be for the quarter?</t>
  </si>
  <si>
    <t>capex, net income, and the addback of depreciation. There should be no need to borrow</t>
  </si>
  <si>
    <t>net</t>
  </si>
  <si>
    <t>at .9</t>
  </si>
  <si>
    <t>at 1.1</t>
  </si>
  <si>
    <t>cash</t>
  </si>
  <si>
    <t>The 2-minute summary answers the three questions and adds the expected cash balance to the mix.</t>
  </si>
  <si>
    <t>I expect net income to be $3.8 to $4.7 million. The largest drivers of cash are expected to be</t>
  </si>
  <si>
    <t>money and the cash balance is likely to be in the $11 to $14 million range.</t>
  </si>
  <si>
    <t>New store net cash outlay is $1.9 to $2.5 million net of zero to $1million of tenant incentives</t>
  </si>
  <si>
    <t>The $4.4 million impairment and closure cost was at 3 stores</t>
  </si>
  <si>
    <t>2017 outlook says capex net of tenant allowances is expected to be $39.0 to $44 million</t>
  </si>
  <si>
    <t>In the cash flow statement, any capex that is sitting in AP comes out of capex and out of the change in AP</t>
  </si>
  <si>
    <t>John Zapp is the other cofounder. He is now the sole Chairman of the Board</t>
  </si>
  <si>
    <t>Steve Hislop is President and CEO</t>
  </si>
  <si>
    <t>John Howie is CFO</t>
  </si>
  <si>
    <t>Actuals were net income of $4.6 million.</t>
  </si>
  <si>
    <t>Largest drivers were</t>
  </si>
  <si>
    <t>Cash balance was $14.2 million.</t>
  </si>
  <si>
    <t>(Amounts in thousands)</t>
  </si>
  <si>
    <t>Ending</t>
  </si>
  <si>
    <t>Store</t>
  </si>
  <si>
    <t>Count</t>
  </si>
  <si>
    <t>Average</t>
  </si>
  <si>
    <t>Per Store</t>
  </si>
  <si>
    <t>Same</t>
  </si>
  <si>
    <t>Sales</t>
  </si>
  <si>
    <t>Quarter ended March 2016</t>
  </si>
  <si>
    <t>Quarter ending March 2017</t>
  </si>
  <si>
    <t>Quarter ended December 2016</t>
  </si>
  <si>
    <t>Quarter ended September 2016</t>
  </si>
  <si>
    <t>Quarter ended June 2016</t>
  </si>
  <si>
    <t>Quarter ended December 2015</t>
  </si>
  <si>
    <t>Lease accounting has two key components. One is straightlining total rent over the life of the lease. So debits to rent and credit to deferred rent in the early years</t>
  </si>
  <si>
    <t>Second component is money the landlord provides for buildout is debit to cash and credit to deferred lease incentives. Then amortized as credit to rent over the life of the lease.</t>
  </si>
  <si>
    <t>All payment due over life of lease as rent get added together and spread evenly to rent expense over the life of the lease</t>
  </si>
  <si>
    <t>Michael Young was one of the two cofounders. He retired from the Board on May 1, 2017</t>
  </si>
  <si>
    <t>Summary for Exercise 1</t>
  </si>
  <si>
    <t>Depreciation</t>
  </si>
  <si>
    <t>Expense</t>
  </si>
  <si>
    <t>Summary for Exercise 2</t>
  </si>
  <si>
    <t>Capital Expenditures</t>
  </si>
  <si>
    <t>Capital</t>
  </si>
  <si>
    <t>Expenditures</t>
  </si>
  <si>
    <t>Accounts Payable &amp; Accrued Liabilities</t>
  </si>
  <si>
    <t>Days</t>
  </si>
  <si>
    <t>Payable</t>
  </si>
  <si>
    <t>Outstanding</t>
  </si>
  <si>
    <t>AP &amp;</t>
  </si>
  <si>
    <t>Accrued</t>
  </si>
  <si>
    <t>Liabilities</t>
  </si>
  <si>
    <t>Daily</t>
  </si>
  <si>
    <t>Cash Flow Focus Report</t>
  </si>
  <si>
    <t>Largest stores does $9.1 million</t>
  </si>
  <si>
    <t>Chuy's Notes</t>
  </si>
  <si>
    <t>This model was created by Philip Campbell to show the Quick Start approach to financial forecasting</t>
  </si>
  <si>
    <t>Buy the book at Amazon</t>
  </si>
  <si>
    <t>Buy the book and Barnes &amp; Noble</t>
  </si>
  <si>
    <t>Buy the book at Bookmasters</t>
  </si>
  <si>
    <t>Philip's website</t>
  </si>
  <si>
    <t>Get the book on Google Play</t>
  </si>
  <si>
    <t>capex in CF</t>
  </si>
  <si>
    <t>the change in CF</t>
  </si>
  <si>
    <t>adj for capex</t>
  </si>
  <si>
    <t>Actuals</t>
  </si>
  <si>
    <t>includes $2.6 million of capex</t>
  </si>
  <si>
    <t>per CF</t>
  </si>
  <si>
    <t>net of $2.6 million in 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</si>
</sst>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0.0%"/>
    <numFmt numFmtId="165" formatCode="#,##0.0_);\(#,##0.0\)"/>
    <numFmt numFmtId="166" formatCode="0.0"/>
    <numFmt numFmtId="167" formatCode="_(&quot;$&quot;* #,##0_);_(&quot;$&quot;* \(#,##0\);_(&quot;$&quot;* &quot;-&quot;??_);_(@_)"/>
  </numFmts>
  <fonts count="14" x14ac:knownFonts="1">
    <font>
      <sz val="11"/>
      <color theme="1"/>
      <name val="Calibri"/>
      <family val="2"/>
      <scheme val="minor"/>
    </font>
    <font>
      <sz val="11"/>
      <color theme="1"/>
      <name val="Calibri"/>
      <family val="2"/>
      <scheme val="minor"/>
    </font>
    <font>
      <sz val="10"/>
      <name val="Arial"/>
      <family val="2"/>
    </font>
    <font>
      <sz val="10"/>
      <name val="Arial"/>
      <family val="2"/>
    </font>
    <font>
      <sz val="10"/>
      <color theme="1"/>
      <name val="Arial"/>
      <family val="2"/>
    </font>
    <font>
      <b/>
      <sz val="10"/>
      <name val="Arial"/>
      <family val="2"/>
    </font>
    <font>
      <u/>
      <sz val="10"/>
      <color indexed="12"/>
      <name val="Arial"/>
      <family val="2"/>
    </font>
    <font>
      <sz val="11"/>
      <name val="Calibri"/>
      <family val="2"/>
      <scheme val="minor"/>
    </font>
    <font>
      <b/>
      <sz val="11"/>
      <color theme="1"/>
      <name val="Calibri"/>
      <family val="2"/>
      <scheme val="minor"/>
    </font>
    <font>
      <sz val="10"/>
      <name val="Arial"/>
      <family val="2"/>
    </font>
    <font>
      <b/>
      <sz val="14"/>
      <color theme="1"/>
      <name val="Calibri"/>
      <family val="2"/>
      <scheme val="minor"/>
    </font>
    <font>
      <u/>
      <sz val="11"/>
      <color theme="10"/>
      <name val="Calibri"/>
      <family val="2"/>
      <scheme val="minor"/>
    </font>
    <font>
      <b/>
      <u/>
      <sz val="11"/>
      <color theme="10"/>
      <name val="Calibri"/>
      <family val="2"/>
      <scheme val="minor"/>
    </font>
    <font>
      <b/>
      <sz val="1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5">
    <xf numFmtId="0" fontId="0" fillId="0" borderId="0"/>
    <xf numFmtId="9" fontId="1" fillId="0" borderId="0" applyFont="0" applyFill="0" applyBorder="0" applyAlignment="0" applyProtection="0"/>
    <xf numFmtId="0" fontId="2" fillId="0" borderId="0">
      <alignment vertical="top"/>
    </xf>
    <xf numFmtId="44" fontId="1" fillId="0" borderId="0" applyFont="0" applyFill="0" applyBorder="0" applyAlignment="0" applyProtection="0"/>
    <xf numFmtId="0" fontId="11" fillId="0" borderId="0" applyNumberFormat="0" applyFill="0" applyBorder="0" applyAlignment="0" applyProtection="0"/>
  </cellStyleXfs>
  <cellXfs count="140">
    <xf numFmtId="0" fontId="0" fillId="0" borderId="0" xfId="0"/>
    <xf numFmtId="0" fontId="0" fillId="0" borderId="0" xfId="0" applyAlignment="1">
      <alignment vertical="top"/>
    </xf>
    <xf numFmtId="0" fontId="2" fillId="0" borderId="0" xfId="0" applyFont="1" applyAlignment="1">
      <alignment vertical="top"/>
    </xf>
    <xf numFmtId="42" fontId="2" fillId="0" borderId="0" xfId="0" applyNumberFormat="1" applyFont="1" applyAlignment="1">
      <alignment vertical="top"/>
    </xf>
    <xf numFmtId="37" fontId="2" fillId="0" borderId="0" xfId="0" applyNumberFormat="1" applyFont="1" applyAlignment="1">
      <alignment vertical="top"/>
    </xf>
    <xf numFmtId="43" fontId="2" fillId="0" borderId="0" xfId="0" applyNumberFormat="1" applyFont="1" applyAlignment="1">
      <alignment vertical="top"/>
    </xf>
    <xf numFmtId="44" fontId="2" fillId="0" borderId="0" xfId="0" applyNumberFormat="1" applyFont="1" applyAlignment="1">
      <alignment vertical="top"/>
    </xf>
    <xf numFmtId="37" fontId="0" fillId="0" borderId="0" xfId="0" applyNumberFormat="1"/>
    <xf numFmtId="0" fontId="3" fillId="0" borderId="0" xfId="0" applyFont="1" applyAlignment="1">
      <alignment vertical="top"/>
    </xf>
    <xf numFmtId="0" fontId="0" fillId="0" borderId="0" xfId="0" applyAlignment="1">
      <alignment horizontal="center"/>
    </xf>
    <xf numFmtId="0" fontId="0" fillId="0" borderId="0" xfId="0" applyBorder="1" applyAlignment="1">
      <alignment horizontal="center"/>
    </xf>
    <xf numFmtId="0" fontId="0" fillId="0" borderId="1" xfId="0" quotePrefix="1" applyBorder="1" applyAlignment="1">
      <alignment horizontal="center"/>
    </xf>
    <xf numFmtId="0" fontId="0" fillId="0" borderId="0" xfId="0" applyAlignment="1">
      <alignment horizontal="center" vertical="top"/>
    </xf>
    <xf numFmtId="0" fontId="2" fillId="0" borderId="0" xfId="0" applyFont="1" applyAlignment="1">
      <alignment horizontal="left" vertical="top" shrinkToFit="1"/>
    </xf>
    <xf numFmtId="37" fontId="3" fillId="0" borderId="0" xfId="0" applyNumberFormat="1" applyFont="1" applyAlignment="1">
      <alignment vertical="top"/>
    </xf>
    <xf numFmtId="42" fontId="3" fillId="0" borderId="0" xfId="0" applyNumberFormat="1" applyFont="1" applyAlignment="1">
      <alignment vertical="top"/>
    </xf>
    <xf numFmtId="10" fontId="3" fillId="0" borderId="0" xfId="0" applyNumberFormat="1" applyFont="1" applyAlignment="1">
      <alignment vertical="top"/>
    </xf>
    <xf numFmtId="44" fontId="3" fillId="0" borderId="0" xfId="0" applyNumberFormat="1" applyFont="1" applyAlignment="1">
      <alignment vertical="top"/>
    </xf>
    <xf numFmtId="42" fontId="3" fillId="2" borderId="0" xfId="0" applyNumberFormat="1" applyFont="1" applyFill="1" applyAlignment="1">
      <alignment vertical="top"/>
    </xf>
    <xf numFmtId="10" fontId="3" fillId="2" borderId="0" xfId="0" applyNumberFormat="1" applyFont="1" applyFill="1" applyAlignment="1">
      <alignment vertical="top"/>
    </xf>
    <xf numFmtId="0" fontId="0" fillId="2" borderId="0" xfId="0" applyFill="1"/>
    <xf numFmtId="164" fontId="0" fillId="0" borderId="0" xfId="1" applyNumberFormat="1" applyFont="1"/>
    <xf numFmtId="165" fontId="0" fillId="0" borderId="0" xfId="0" applyNumberFormat="1"/>
    <xf numFmtId="166" fontId="0" fillId="0" borderId="0" xfId="0" applyNumberFormat="1"/>
    <xf numFmtId="37" fontId="3" fillId="0" borderId="0" xfId="0" applyNumberFormat="1" applyFont="1" applyAlignment="1"/>
    <xf numFmtId="37" fontId="4" fillId="0" borderId="0" xfId="0" applyNumberFormat="1" applyFont="1" applyAlignment="1"/>
    <xf numFmtId="37" fontId="0" fillId="0" borderId="0" xfId="0" applyNumberFormat="1" applyAlignment="1"/>
    <xf numFmtId="0" fontId="0" fillId="0" borderId="0" xfId="0" quotePrefix="1" applyBorder="1" applyAlignment="1">
      <alignment horizontal="center"/>
    </xf>
    <xf numFmtId="0" fontId="2" fillId="0" borderId="0" xfId="0" applyFont="1" applyAlignment="1">
      <alignment vertical="top"/>
    </xf>
    <xf numFmtId="0" fontId="0" fillId="3" borderId="0" xfId="0" applyFill="1"/>
    <xf numFmtId="37" fontId="0" fillId="3" borderId="0" xfId="0" applyNumberFormat="1" applyFill="1"/>
    <xf numFmtId="164" fontId="0" fillId="3" borderId="0" xfId="1" applyNumberFormat="1" applyFont="1" applyFill="1"/>
    <xf numFmtId="165" fontId="0" fillId="3" borderId="0" xfId="0" applyNumberFormat="1" applyFill="1"/>
    <xf numFmtId="0" fontId="3" fillId="3" borderId="0" xfId="0" applyFont="1" applyFill="1" applyAlignment="1">
      <alignment vertical="top"/>
    </xf>
    <xf numFmtId="0" fontId="2" fillId="3" borderId="0" xfId="0" applyFont="1" applyFill="1" applyAlignment="1">
      <alignment vertical="top"/>
    </xf>
    <xf numFmtId="166" fontId="0" fillId="3" borderId="0" xfId="0" applyNumberFormat="1" applyFill="1"/>
    <xf numFmtId="0" fontId="2" fillId="0" borderId="0" xfId="2">
      <alignment vertical="top"/>
    </xf>
    <xf numFmtId="0" fontId="2" fillId="0" borderId="0" xfId="2" applyFont="1">
      <alignment vertical="top"/>
    </xf>
    <xf numFmtId="37" fontId="2" fillId="0" borderId="0" xfId="2" applyNumberFormat="1" applyFont="1">
      <alignment vertical="top"/>
    </xf>
    <xf numFmtId="42" fontId="2" fillId="0" borderId="0" xfId="2" applyNumberFormat="1" applyFont="1">
      <alignment vertical="top"/>
    </xf>
    <xf numFmtId="10" fontId="2" fillId="0" borderId="0" xfId="2" applyNumberFormat="1" applyFont="1">
      <alignment vertical="top"/>
    </xf>
    <xf numFmtId="44" fontId="2" fillId="0" borderId="0" xfId="2" applyNumberFormat="1" applyFont="1">
      <alignment vertical="top"/>
    </xf>
    <xf numFmtId="164" fontId="0" fillId="0" borderId="0" xfId="1" applyNumberFormat="1" applyFont="1" applyFill="1"/>
    <xf numFmtId="37" fontId="0" fillId="0" borderId="0" xfId="0" applyNumberFormat="1" applyFill="1"/>
    <xf numFmtId="0" fontId="0" fillId="0" borderId="0" xfId="0" quotePrefix="1"/>
    <xf numFmtId="164" fontId="2" fillId="0" borderId="0" xfId="1" applyNumberFormat="1" applyFont="1" applyAlignment="1">
      <alignment vertical="top"/>
    </xf>
    <xf numFmtId="0" fontId="0" fillId="0" borderId="0" xfId="0" applyFont="1"/>
    <xf numFmtId="0" fontId="0" fillId="0" borderId="0" xfId="0" applyFont="1" applyAlignment="1">
      <alignment vertical="top"/>
    </xf>
    <xf numFmtId="0" fontId="0" fillId="0" borderId="0" xfId="0" applyFont="1" applyAlignment="1">
      <alignment horizontal="center"/>
    </xf>
    <xf numFmtId="0" fontId="0" fillId="0" borderId="0" xfId="0" applyFont="1" applyBorder="1" applyAlignment="1">
      <alignment horizontal="center"/>
    </xf>
    <xf numFmtId="0" fontId="0" fillId="0" borderId="0" xfId="0" applyFont="1" applyAlignment="1">
      <alignment horizontal="center" vertical="top"/>
    </xf>
    <xf numFmtId="0" fontId="0" fillId="0" borderId="1" xfId="0" quotePrefix="1" applyFont="1" applyBorder="1" applyAlignment="1">
      <alignment horizontal="center"/>
    </xf>
    <xf numFmtId="5" fontId="0" fillId="0" borderId="0" xfId="0" applyNumberFormat="1" applyFont="1"/>
    <xf numFmtId="37" fontId="0" fillId="0" borderId="0" xfId="0" applyNumberFormat="1" applyFont="1"/>
    <xf numFmtId="37" fontId="0" fillId="0" borderId="0" xfId="0" applyNumberFormat="1" applyFont="1" applyAlignment="1">
      <alignment vertical="top"/>
    </xf>
    <xf numFmtId="0" fontId="7" fillId="0" borderId="0" xfId="0" applyFont="1" applyAlignment="1">
      <alignment vertical="top"/>
    </xf>
    <xf numFmtId="5" fontId="7" fillId="0" borderId="0" xfId="0" applyNumberFormat="1" applyFont="1" applyAlignment="1">
      <alignment vertical="top"/>
    </xf>
    <xf numFmtId="5" fontId="7" fillId="0" borderId="0" xfId="0" applyNumberFormat="1" applyFont="1" applyFill="1" applyBorder="1" applyAlignment="1">
      <alignment vertical="top"/>
    </xf>
    <xf numFmtId="37" fontId="7" fillId="0" borderId="0" xfId="0" applyNumberFormat="1" applyFont="1" applyAlignment="1">
      <alignment vertical="top"/>
    </xf>
    <xf numFmtId="37" fontId="7" fillId="0" borderId="0" xfId="0" applyNumberFormat="1" applyFont="1" applyFill="1" applyBorder="1" applyAlignment="1">
      <alignment vertical="top"/>
    </xf>
    <xf numFmtId="0" fontId="7" fillId="0" borderId="0" xfId="0" applyFont="1" applyFill="1" applyBorder="1" applyAlignment="1">
      <alignment vertical="top"/>
    </xf>
    <xf numFmtId="37" fontId="0" fillId="0" borderId="0" xfId="0" applyNumberFormat="1" applyFont="1" applyFill="1"/>
    <xf numFmtId="5" fontId="0" fillId="0" borderId="0" xfId="0" applyNumberFormat="1" applyFont="1" applyFill="1"/>
    <xf numFmtId="0" fontId="0" fillId="0" borderId="0" xfId="0" applyFont="1" applyFill="1"/>
    <xf numFmtId="37" fontId="0" fillId="0" borderId="1" xfId="0" applyNumberFormat="1" applyBorder="1"/>
    <xf numFmtId="42" fontId="0" fillId="0" borderId="0" xfId="0" applyNumberFormat="1" applyFont="1"/>
    <xf numFmtId="0" fontId="2" fillId="0" borderId="0" xfId="0" applyFont="1" applyAlignment="1">
      <alignment vertical="top"/>
    </xf>
    <xf numFmtId="42" fontId="7" fillId="0" borderId="0" xfId="0" applyNumberFormat="1" applyFont="1" applyAlignment="1">
      <alignment vertical="top"/>
    </xf>
    <xf numFmtId="37" fontId="7" fillId="0" borderId="0" xfId="0" applyNumberFormat="1" applyFont="1" applyAlignment="1">
      <alignment horizontal="right" vertical="top"/>
    </xf>
    <xf numFmtId="43" fontId="7" fillId="0" borderId="0" xfId="0" applyNumberFormat="1" applyFont="1" applyAlignment="1">
      <alignment vertical="top"/>
    </xf>
    <xf numFmtId="37" fontId="7" fillId="0" borderId="1" xfId="0" applyNumberFormat="1" applyFont="1" applyBorder="1" applyAlignment="1">
      <alignment vertical="top"/>
    </xf>
    <xf numFmtId="37" fontId="0" fillId="0" borderId="1" xfId="0" applyNumberFormat="1" applyFont="1" applyBorder="1" applyAlignment="1">
      <alignment vertical="top"/>
    </xf>
    <xf numFmtId="37" fontId="0" fillId="0" borderId="1" xfId="0" applyNumberFormat="1" applyFont="1" applyBorder="1"/>
    <xf numFmtId="0" fontId="0" fillId="0" borderId="1" xfId="0" applyFont="1" applyBorder="1"/>
    <xf numFmtId="37" fontId="0" fillId="2" borderId="1" xfId="0" applyNumberFormat="1" applyFont="1" applyFill="1" applyBorder="1"/>
    <xf numFmtId="37" fontId="7" fillId="0" borderId="0" xfId="0" applyNumberFormat="1" applyFont="1" applyBorder="1" applyAlignment="1">
      <alignment vertical="top"/>
    </xf>
    <xf numFmtId="37" fontId="0" fillId="0" borderId="0" xfId="0" applyNumberFormat="1" applyFont="1" applyBorder="1" applyAlignment="1">
      <alignment vertical="top"/>
    </xf>
    <xf numFmtId="37" fontId="0" fillId="0" borderId="0" xfId="0" applyNumberFormat="1" applyFont="1" applyBorder="1"/>
    <xf numFmtId="37" fontId="0" fillId="2" borderId="0" xfId="0" applyNumberFormat="1" applyFont="1" applyFill="1" applyBorder="1"/>
    <xf numFmtId="0" fontId="0" fillId="0" borderId="0" xfId="0" applyFont="1" applyBorder="1"/>
    <xf numFmtId="37" fontId="0" fillId="0" borderId="0" xfId="0" applyNumberFormat="1" applyBorder="1"/>
    <xf numFmtId="0" fontId="0" fillId="0" borderId="0" xfId="0" quotePrefix="1" applyFont="1" applyBorder="1" applyAlignment="1">
      <alignment horizontal="center"/>
    </xf>
    <xf numFmtId="37" fontId="0" fillId="0" borderId="0" xfId="0" applyNumberFormat="1" applyFont="1" applyAlignment="1"/>
    <xf numFmtId="37" fontId="7" fillId="0" borderId="0" xfId="0" applyNumberFormat="1" applyFont="1" applyAlignment="1"/>
    <xf numFmtId="44" fontId="7" fillId="0" borderId="0" xfId="0" applyNumberFormat="1" applyFont="1" applyAlignment="1">
      <alignment vertical="top"/>
    </xf>
    <xf numFmtId="37" fontId="7" fillId="0" borderId="1" xfId="0" applyNumberFormat="1" applyFont="1" applyBorder="1" applyAlignment="1"/>
    <xf numFmtId="37" fontId="0" fillId="0" borderId="1" xfId="0" applyNumberFormat="1" applyFont="1" applyBorder="1" applyAlignment="1"/>
    <xf numFmtId="167" fontId="7" fillId="0" borderId="3" xfId="3" applyNumberFormat="1" applyFont="1" applyBorder="1" applyAlignment="1"/>
    <xf numFmtId="167" fontId="0" fillId="0" borderId="3" xfId="3" applyNumberFormat="1" applyFont="1" applyBorder="1" applyAlignment="1"/>
    <xf numFmtId="167" fontId="7" fillId="0" borderId="0" xfId="3" applyNumberFormat="1" applyFont="1" applyAlignment="1"/>
    <xf numFmtId="167" fontId="0" fillId="0" borderId="0" xfId="3" applyNumberFormat="1" applyFont="1" applyAlignment="1"/>
    <xf numFmtId="37" fontId="7" fillId="0" borderId="2" xfId="0" applyNumberFormat="1" applyFont="1" applyBorder="1" applyAlignment="1"/>
    <xf numFmtId="37" fontId="0" fillId="0" borderId="2" xfId="0" applyNumberFormat="1" applyFont="1" applyBorder="1" applyAlignment="1"/>
    <xf numFmtId="167" fontId="0" fillId="0" borderId="0" xfId="3" applyNumberFormat="1" applyFont="1" applyAlignment="1">
      <alignment vertical="top"/>
    </xf>
    <xf numFmtId="167" fontId="0" fillId="0" borderId="0" xfId="0" applyNumberFormat="1" applyFont="1" applyAlignment="1">
      <alignment vertical="top"/>
    </xf>
    <xf numFmtId="0" fontId="2" fillId="0" borderId="0" xfId="0" applyFont="1" applyAlignment="1">
      <alignment vertical="top"/>
    </xf>
    <xf numFmtId="5" fontId="7" fillId="0" borderId="3" xfId="0" applyNumberFormat="1" applyFont="1" applyBorder="1" applyAlignment="1">
      <alignment vertical="top"/>
    </xf>
    <xf numFmtId="5" fontId="0" fillId="0" borderId="0" xfId="0" applyNumberFormat="1"/>
    <xf numFmtId="0" fontId="7" fillId="3" borderId="0" xfId="0" applyFont="1" applyFill="1" applyAlignment="1">
      <alignment vertical="top"/>
    </xf>
    <xf numFmtId="5" fontId="0" fillId="0" borderId="0" xfId="0" applyNumberFormat="1" applyFont="1" applyAlignment="1">
      <alignment vertical="top"/>
    </xf>
    <xf numFmtId="37" fontId="0" fillId="0" borderId="2" xfId="0" applyNumberFormat="1" applyFont="1" applyFill="1" applyBorder="1"/>
    <xf numFmtId="37" fontId="0" fillId="0" borderId="2" xfId="0" applyNumberFormat="1" applyFont="1" applyBorder="1"/>
    <xf numFmtId="167" fontId="0" fillId="0" borderId="3" xfId="3" applyNumberFormat="1" applyFont="1" applyBorder="1"/>
    <xf numFmtId="167" fontId="0" fillId="0" borderId="0" xfId="3" applyNumberFormat="1" applyFont="1" applyBorder="1"/>
    <xf numFmtId="0" fontId="0" fillId="0" borderId="0" xfId="0" applyFill="1"/>
    <xf numFmtId="37" fontId="0" fillId="0" borderId="0" xfId="1" applyNumberFormat="1" applyFont="1" applyFill="1"/>
    <xf numFmtId="167" fontId="0" fillId="0" borderId="0" xfId="3" applyNumberFormat="1" applyFont="1"/>
    <xf numFmtId="0" fontId="0" fillId="0" borderId="1" xfId="0" applyBorder="1" applyAlignment="1">
      <alignment horizontal="center"/>
    </xf>
    <xf numFmtId="167" fontId="0" fillId="0" borderId="0" xfId="0" applyNumberFormat="1"/>
    <xf numFmtId="37" fontId="7" fillId="0" borderId="0" xfId="0" applyNumberFormat="1" applyFont="1" applyBorder="1" applyAlignment="1"/>
    <xf numFmtId="2" fontId="0" fillId="0" borderId="0" xfId="0" applyNumberFormat="1" applyFont="1"/>
    <xf numFmtId="44" fontId="0" fillId="0" borderId="0" xfId="3" applyFont="1"/>
    <xf numFmtId="0" fontId="8" fillId="0" borderId="0" xfId="0" applyFont="1"/>
    <xf numFmtId="3" fontId="0" fillId="0" borderId="0" xfId="0" applyNumberFormat="1"/>
    <xf numFmtId="167" fontId="0" fillId="3" borderId="0" xfId="3" applyNumberFormat="1" applyFont="1" applyFill="1"/>
    <xf numFmtId="167" fontId="0" fillId="0" borderId="0" xfId="3" applyNumberFormat="1" applyFont="1" applyFill="1"/>
    <xf numFmtId="0" fontId="9" fillId="0" borderId="0" xfId="0" applyFont="1" applyAlignment="1">
      <alignment vertical="top"/>
    </xf>
    <xf numFmtId="37" fontId="9" fillId="0" borderId="0" xfId="0" applyNumberFormat="1" applyFont="1" applyAlignment="1">
      <alignment vertical="top"/>
    </xf>
    <xf numFmtId="44" fontId="9" fillId="0" borderId="0" xfId="0" applyNumberFormat="1" applyFont="1" applyAlignment="1">
      <alignment vertical="top"/>
    </xf>
    <xf numFmtId="37" fontId="0" fillId="0" borderId="0" xfId="0" applyNumberFormat="1" applyFont="1" applyFill="1" applyBorder="1"/>
    <xf numFmtId="37" fontId="0" fillId="2" borderId="0" xfId="0" applyNumberFormat="1" applyFill="1" applyBorder="1"/>
    <xf numFmtId="167" fontId="0" fillId="2" borderId="0" xfId="3" applyNumberFormat="1" applyFont="1" applyFill="1" applyBorder="1"/>
    <xf numFmtId="164" fontId="0" fillId="2" borderId="0" xfId="1" applyNumberFormat="1" applyFont="1" applyFill="1"/>
    <xf numFmtId="167" fontId="0" fillId="2" borderId="0" xfId="3" applyNumberFormat="1" applyFont="1" applyFill="1"/>
    <xf numFmtId="165" fontId="0" fillId="2" borderId="0" xfId="0" applyNumberFormat="1" applyFill="1"/>
    <xf numFmtId="37" fontId="0" fillId="2" borderId="0" xfId="0" applyNumberFormat="1" applyFill="1"/>
    <xf numFmtId="37" fontId="8" fillId="0" borderId="0" xfId="0" applyNumberFormat="1" applyFont="1" applyBorder="1"/>
    <xf numFmtId="0" fontId="8" fillId="0" borderId="0" xfId="0" applyFont="1" applyBorder="1"/>
    <xf numFmtId="0" fontId="8" fillId="0" borderId="1" xfId="0" applyFont="1" applyBorder="1"/>
    <xf numFmtId="0" fontId="0" fillId="0" borderId="1" xfId="0" applyBorder="1"/>
    <xf numFmtId="0" fontId="10" fillId="0" borderId="0" xfId="0" applyFont="1"/>
    <xf numFmtId="167" fontId="0" fillId="0" borderId="0" xfId="3" applyNumberFormat="1" applyFont="1" applyAlignment="1">
      <alignment horizontal="center"/>
    </xf>
    <xf numFmtId="0" fontId="12" fillId="0" borderId="0" xfId="4" applyFont="1"/>
    <xf numFmtId="1" fontId="0" fillId="0" borderId="0" xfId="0" applyNumberFormat="1"/>
    <xf numFmtId="0" fontId="13" fillId="0" borderId="0" xfId="0" applyFont="1"/>
    <xf numFmtId="0" fontId="2" fillId="0" borderId="0" xfId="0" applyFont="1" applyAlignment="1">
      <alignment horizontal="center" vertical="top" shrinkToFit="1"/>
    </xf>
    <xf numFmtId="0" fontId="2" fillId="0" borderId="0" xfId="0" applyFont="1" applyAlignment="1">
      <alignment vertical="top"/>
    </xf>
    <xf numFmtId="0" fontId="5" fillId="0" borderId="0" xfId="2" applyFont="1" applyAlignment="1">
      <alignment horizontal="left" vertical="top"/>
    </xf>
    <xf numFmtId="0" fontId="2" fillId="0" borderId="0" xfId="2">
      <alignment vertical="top"/>
    </xf>
    <xf numFmtId="0" fontId="6" fillId="0" borderId="0" xfId="2" applyFont="1">
      <alignment vertical="top"/>
    </xf>
  </cellXfs>
  <cellStyles count="5">
    <cellStyle name="Currency" xfId="3" builtinId="4"/>
    <cellStyle name="Hyperlink" xfId="4" builtinId="8"/>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240792</xdr:colOff>
      <xdr:row>3</xdr:row>
      <xdr:rowOff>63600</xdr:rowOff>
    </xdr:from>
    <xdr:to>
      <xdr:col>2</xdr:col>
      <xdr:colOff>533400</xdr:colOff>
      <xdr:row>15</xdr:row>
      <xdr:rowOff>40794</xdr:rowOff>
    </xdr:to>
    <xdr:pic>
      <xdr:nvPicPr>
        <xdr:cNvPr id="3" name="Picture 2">
          <a:extLst>
            <a:ext uri="{FF2B5EF4-FFF2-40B4-BE49-F238E27FC236}">
              <a16:creationId xmlns:a16="http://schemas.microsoft.com/office/drawing/2014/main" id="{5ED5EB43-FD18-4268-BDBE-ACEA239610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0792" y="635100"/>
          <a:ext cx="1511808" cy="22631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bookmasters.com/Shop/Title/9781932743050" TargetMode="External"/><Relationship Id="rId7" Type="http://schemas.openxmlformats.org/officeDocument/2006/relationships/drawing" Target="../drawings/drawing1.xml"/><Relationship Id="rId2" Type="http://schemas.openxmlformats.org/officeDocument/2006/relationships/hyperlink" Target="https://www.barnesandnoble.com/w/a-quick-start-guide-to-financial-forecasting-philip-campbell/1126333550?ean=9781932743050" TargetMode="External"/><Relationship Id="rId1" Type="http://schemas.openxmlformats.org/officeDocument/2006/relationships/hyperlink" Target="https://www.amazon.com/dp/1932743057/" TargetMode="External"/><Relationship Id="rId6" Type="http://schemas.openxmlformats.org/officeDocument/2006/relationships/printerSettings" Target="../printerSettings/printerSettings1.bin"/><Relationship Id="rId5" Type="http://schemas.openxmlformats.org/officeDocument/2006/relationships/hyperlink" Target="https://play.google.com/store/books/details/Philip_Campbell_A_Quick_Start_Guide_to_Financial_F?id=TaclDwAAQBAJ&amp;hl=en" TargetMode="External"/><Relationship Id="rId4" Type="http://schemas.openxmlformats.org/officeDocument/2006/relationships/hyperlink" Target="http://financialrhythm.com/about-philip-campbel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3"/>
  <sheetViews>
    <sheetView tabSelected="1" workbookViewId="0">
      <selection activeCell="L18" sqref="L18"/>
    </sheetView>
  </sheetViews>
  <sheetFormatPr defaultRowHeight="15" x14ac:dyDescent="0.25"/>
  <sheetData>
    <row r="2" spans="1:5" x14ac:dyDescent="0.25">
      <c r="A2" t="s">
        <v>259</v>
      </c>
    </row>
    <row r="5" spans="1:5" x14ac:dyDescent="0.25">
      <c r="E5" s="112"/>
    </row>
    <row r="6" spans="1:5" x14ac:dyDescent="0.25">
      <c r="E6" s="132" t="s">
        <v>260</v>
      </c>
    </row>
    <row r="7" spans="1:5" x14ac:dyDescent="0.25">
      <c r="E7" s="112"/>
    </row>
    <row r="8" spans="1:5" x14ac:dyDescent="0.25">
      <c r="E8" s="132" t="s">
        <v>261</v>
      </c>
    </row>
    <row r="9" spans="1:5" x14ac:dyDescent="0.25">
      <c r="E9" s="112"/>
    </row>
    <row r="10" spans="1:5" x14ac:dyDescent="0.25">
      <c r="E10" s="132" t="s">
        <v>262</v>
      </c>
    </row>
    <row r="11" spans="1:5" x14ac:dyDescent="0.25">
      <c r="E11" s="112"/>
    </row>
    <row r="12" spans="1:5" x14ac:dyDescent="0.25">
      <c r="E12" s="132" t="s">
        <v>263</v>
      </c>
    </row>
    <row r="13" spans="1:5" x14ac:dyDescent="0.25">
      <c r="E13" s="112"/>
    </row>
    <row r="14" spans="1:5" x14ac:dyDescent="0.25">
      <c r="E14" s="132" t="s">
        <v>264</v>
      </c>
    </row>
    <row r="20" spans="1:1" ht="18.75" x14ac:dyDescent="0.3">
      <c r="A20" s="130" t="s">
        <v>258</v>
      </c>
    </row>
    <row r="21" spans="1:1" x14ac:dyDescent="0.25">
      <c r="A21" t="s">
        <v>257</v>
      </c>
    </row>
    <row r="22" spans="1:1" x14ac:dyDescent="0.25">
      <c r="A22" t="s">
        <v>213</v>
      </c>
    </row>
    <row r="23" spans="1:1" x14ac:dyDescent="0.25">
      <c r="A23" t="s">
        <v>214</v>
      </c>
    </row>
    <row r="24" spans="1:1" x14ac:dyDescent="0.25">
      <c r="A24" s="44" t="s">
        <v>215</v>
      </c>
    </row>
    <row r="25" spans="1:1" x14ac:dyDescent="0.25">
      <c r="A25" s="44" t="s">
        <v>237</v>
      </c>
    </row>
    <row r="26" spans="1:1" x14ac:dyDescent="0.25">
      <c r="A26" t="s">
        <v>239</v>
      </c>
    </row>
    <row r="27" spans="1:1" x14ac:dyDescent="0.25">
      <c r="A27" s="44" t="s">
        <v>238</v>
      </c>
    </row>
    <row r="28" spans="1:1" x14ac:dyDescent="0.25">
      <c r="A28" t="s">
        <v>216</v>
      </c>
    </row>
    <row r="30" spans="1:1" x14ac:dyDescent="0.25">
      <c r="A30" t="s">
        <v>240</v>
      </c>
    </row>
    <row r="31" spans="1:1" x14ac:dyDescent="0.25">
      <c r="A31" t="s">
        <v>217</v>
      </c>
    </row>
    <row r="32" spans="1:1" x14ac:dyDescent="0.25">
      <c r="A32" t="s">
        <v>218</v>
      </c>
    </row>
    <row r="33" spans="1:1" x14ac:dyDescent="0.25">
      <c r="A33" t="s">
        <v>219</v>
      </c>
    </row>
  </sheetData>
  <hyperlinks>
    <hyperlink ref="E6" r:id="rId1"/>
    <hyperlink ref="E8" r:id="rId2"/>
    <hyperlink ref="E10" r:id="rId3"/>
    <hyperlink ref="E12" r:id="rId4"/>
    <hyperlink ref="E14" r:id="rId5"/>
  </hyperlinks>
  <pageMargins left="0.7" right="0.7" top="0.75" bottom="0.75" header="0.3" footer="0.3"/>
  <pageSetup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0"/>
  <sheetViews>
    <sheetView zoomScaleNormal="100" workbookViewId="0">
      <pane xSplit="1" ySplit="8" topLeftCell="F33" activePane="bottomRight" state="frozen"/>
      <selection pane="topRight" activeCell="B1" sqref="B1"/>
      <selection pane="bottomLeft" activeCell="A8" sqref="A8"/>
      <selection pane="bottomRight" activeCell="K60" sqref="K60"/>
    </sheetView>
  </sheetViews>
  <sheetFormatPr defaultRowHeight="15" x14ac:dyDescent="0.25"/>
  <cols>
    <col min="1" max="1" width="36.28515625" customWidth="1"/>
    <col min="2" max="2" width="0" hidden="1" customWidth="1"/>
    <col min="3" max="5" width="9.85546875" hidden="1" customWidth="1"/>
    <col min="6" max="14" width="9.85546875" customWidth="1"/>
  </cols>
  <sheetData>
    <row r="1" spans="1:25" x14ac:dyDescent="0.25">
      <c r="A1" s="46" t="s">
        <v>0</v>
      </c>
    </row>
    <row r="2" spans="1:25" x14ac:dyDescent="0.25">
      <c r="A2" t="s">
        <v>182</v>
      </c>
    </row>
    <row r="3" spans="1:25" x14ac:dyDescent="0.25">
      <c r="A3" s="46" t="s">
        <v>166</v>
      </c>
      <c r="M3" s="7"/>
    </row>
    <row r="6" spans="1:25" x14ac:dyDescent="0.25">
      <c r="A6" s="46" t="s">
        <v>166</v>
      </c>
      <c r="B6" s="48" t="s">
        <v>65</v>
      </c>
      <c r="C6" s="48" t="s">
        <v>65</v>
      </c>
      <c r="D6" s="48" t="s">
        <v>65</v>
      </c>
      <c r="E6" s="48" t="s">
        <v>65</v>
      </c>
      <c r="F6" s="48" t="s">
        <v>65</v>
      </c>
      <c r="G6" s="48" t="s">
        <v>65</v>
      </c>
      <c r="H6" s="48" t="s">
        <v>65</v>
      </c>
      <c r="I6" s="48" t="s">
        <v>65</v>
      </c>
      <c r="J6" s="48" t="s">
        <v>65</v>
      </c>
      <c r="K6" s="48" t="s">
        <v>51</v>
      </c>
      <c r="L6" s="48" t="s">
        <v>51</v>
      </c>
      <c r="M6" s="48" t="s">
        <v>51</v>
      </c>
      <c r="N6" s="48" t="s">
        <v>51</v>
      </c>
    </row>
    <row r="7" spans="1:25" x14ac:dyDescent="0.25">
      <c r="B7" s="10" t="s">
        <v>33</v>
      </c>
      <c r="C7" s="12" t="s">
        <v>36</v>
      </c>
      <c r="D7" s="12" t="s">
        <v>37</v>
      </c>
      <c r="E7" s="12" t="s">
        <v>38</v>
      </c>
      <c r="F7" s="10" t="s">
        <v>33</v>
      </c>
      <c r="G7" s="12" t="s">
        <v>36</v>
      </c>
      <c r="H7" s="12" t="s">
        <v>37</v>
      </c>
      <c r="I7" s="12" t="s">
        <v>38</v>
      </c>
      <c r="J7" s="10" t="s">
        <v>33</v>
      </c>
      <c r="K7" s="12" t="s">
        <v>36</v>
      </c>
      <c r="L7" s="12" t="s">
        <v>37</v>
      </c>
      <c r="M7" s="12" t="s">
        <v>38</v>
      </c>
      <c r="N7" s="10" t="s">
        <v>33</v>
      </c>
    </row>
    <row r="8" spans="1:25" x14ac:dyDescent="0.25">
      <c r="B8" s="11" t="s">
        <v>112</v>
      </c>
      <c r="C8" s="11" t="s">
        <v>34</v>
      </c>
      <c r="D8" s="11" t="s">
        <v>34</v>
      </c>
      <c r="E8" s="11" t="s">
        <v>34</v>
      </c>
      <c r="F8" s="11" t="s">
        <v>34</v>
      </c>
      <c r="G8" s="11" t="s">
        <v>39</v>
      </c>
      <c r="H8" s="11" t="s">
        <v>39</v>
      </c>
      <c r="I8" s="11" t="s">
        <v>39</v>
      </c>
      <c r="J8" s="11" t="s">
        <v>39</v>
      </c>
      <c r="K8" s="11" t="s">
        <v>50</v>
      </c>
      <c r="L8" s="11" t="s">
        <v>50</v>
      </c>
      <c r="M8" s="11" t="s">
        <v>50</v>
      </c>
      <c r="N8" s="11" t="s">
        <v>50</v>
      </c>
    </row>
    <row r="9" spans="1:25" hidden="1" x14ac:dyDescent="0.25">
      <c r="A9" t="s">
        <v>47</v>
      </c>
    </row>
    <row r="10" spans="1:25" hidden="1" x14ac:dyDescent="0.25">
      <c r="A10" t="s">
        <v>48</v>
      </c>
    </row>
    <row r="11" spans="1:25" x14ac:dyDescent="0.25">
      <c r="A11" s="29" t="s">
        <v>49</v>
      </c>
      <c r="B11" s="30">
        <f>+'Store info by Qtr'!B7</f>
        <v>59</v>
      </c>
      <c r="C11" s="30">
        <f>+'Store info by Qtr'!C7</f>
        <v>62</v>
      </c>
      <c r="D11" s="30">
        <f>+'Store info by Qtr'!D7</f>
        <v>63</v>
      </c>
      <c r="E11" s="30">
        <f>+'Store info by Qtr'!E7</f>
        <v>65</v>
      </c>
      <c r="F11" s="30">
        <f>+'Store info by Qtr'!F7</f>
        <v>69</v>
      </c>
      <c r="G11" s="30">
        <f>+'Store info by Qtr'!G7</f>
        <v>71</v>
      </c>
      <c r="H11" s="30">
        <f>+'Store info by Qtr'!H7</f>
        <v>75</v>
      </c>
      <c r="I11" s="30">
        <f>+'Store info by Qtr'!I7</f>
        <v>77</v>
      </c>
      <c r="J11" s="30">
        <f>+'Store info by Qtr'!J7</f>
        <v>80</v>
      </c>
      <c r="K11" s="120"/>
      <c r="L11" s="30"/>
      <c r="M11" s="30"/>
      <c r="N11" s="30"/>
      <c r="X11">
        <f>+Assumptions!K10</f>
        <v>82</v>
      </c>
    </row>
    <row r="12" spans="1:25" x14ac:dyDescent="0.25">
      <c r="B12" s="7"/>
      <c r="C12" s="7"/>
      <c r="D12" s="7"/>
      <c r="E12" s="7"/>
      <c r="F12" s="7"/>
      <c r="G12" s="7"/>
      <c r="H12" s="7"/>
      <c r="I12" s="7"/>
      <c r="J12" s="7"/>
      <c r="K12" s="7"/>
      <c r="L12" s="7"/>
      <c r="M12" s="7"/>
      <c r="N12" s="7"/>
    </row>
    <row r="13" spans="1:25" x14ac:dyDescent="0.25">
      <c r="B13" s="7"/>
      <c r="C13" s="43"/>
      <c r="D13" s="43"/>
      <c r="E13" s="43"/>
      <c r="F13" s="43"/>
      <c r="G13" s="43"/>
      <c r="H13" s="43"/>
      <c r="I13" s="43"/>
      <c r="J13" s="43"/>
      <c r="K13" s="43"/>
      <c r="L13" s="43"/>
      <c r="M13" s="43"/>
      <c r="N13" s="43"/>
    </row>
    <row r="14" spans="1:25" x14ac:dyDescent="0.25">
      <c r="A14" s="29" t="s">
        <v>53</v>
      </c>
      <c r="B14" s="29"/>
      <c r="C14" s="114">
        <f>+C17/C11</f>
        <v>1077.8870967741937</v>
      </c>
      <c r="D14" s="114">
        <f>+D17/D11</f>
        <v>1196.2222222222222</v>
      </c>
      <c r="E14" s="114">
        <f>+E17/E11</f>
        <v>1137.0769230769231</v>
      </c>
      <c r="F14" s="114">
        <f>+F17/F11</f>
        <v>1028.4202898550725</v>
      </c>
      <c r="G14" s="114">
        <f t="shared" ref="G14:J14" si="0">+G17/G11</f>
        <v>1099.3521126760563</v>
      </c>
      <c r="H14" s="114">
        <f t="shared" si="0"/>
        <v>1172.1199999999999</v>
      </c>
      <c r="I14" s="114">
        <f t="shared" si="0"/>
        <v>1111.6493506493507</v>
      </c>
      <c r="J14" s="114">
        <f t="shared" si="0"/>
        <v>988.16250000000002</v>
      </c>
      <c r="K14" s="121"/>
      <c r="L14" s="114"/>
      <c r="M14" s="114"/>
      <c r="N14" s="114"/>
      <c r="O14" s="7"/>
      <c r="P14" s="7"/>
      <c r="Q14" s="7"/>
      <c r="R14" s="7"/>
      <c r="S14" s="7"/>
      <c r="T14" s="7"/>
      <c r="U14" s="7"/>
      <c r="V14" s="7"/>
      <c r="W14" s="7"/>
      <c r="X14" s="7">
        <f>+Assumptions!K16</f>
        <v>1059.8048780487804</v>
      </c>
      <c r="Y14" s="7"/>
    </row>
    <row r="15" spans="1:25" hidden="1" x14ac:dyDescent="0.25">
      <c r="A15" t="s">
        <v>79</v>
      </c>
      <c r="C15" s="106"/>
      <c r="D15" s="106">
        <f t="shared" ref="D15:E15" si="1">AVERAGE(C14:D14)</f>
        <v>1137.0546594982079</v>
      </c>
      <c r="E15" s="106">
        <f t="shared" si="1"/>
        <v>1166.6495726495727</v>
      </c>
      <c r="F15" s="106">
        <f>AVERAGE(E14:F14)</f>
        <v>1082.7486064659979</v>
      </c>
      <c r="G15" s="106">
        <f t="shared" ref="G15:J15" si="2">AVERAGE(F14:G14)</f>
        <v>1063.8862012655645</v>
      </c>
      <c r="H15" s="106">
        <f t="shared" si="2"/>
        <v>1135.736056338028</v>
      </c>
      <c r="I15" s="106">
        <f t="shared" si="2"/>
        <v>1141.8846753246753</v>
      </c>
      <c r="J15" s="106">
        <f t="shared" si="2"/>
        <v>1049.9059253246753</v>
      </c>
      <c r="K15" s="106">
        <f t="shared" ref="K15" si="3">AVERAGE(J14:K14)</f>
        <v>988.16250000000002</v>
      </c>
      <c r="L15" s="106" t="e">
        <f t="shared" ref="L15" si="4">AVERAGE(K14:L14)</f>
        <v>#DIV/0!</v>
      </c>
      <c r="M15" s="106" t="e">
        <f t="shared" ref="M15" si="5">AVERAGE(L14:M14)</f>
        <v>#DIV/0!</v>
      </c>
      <c r="N15" s="106" t="e">
        <f t="shared" ref="N15" si="6">AVERAGE(M14:N14)</f>
        <v>#DIV/0!</v>
      </c>
      <c r="O15" s="7"/>
      <c r="P15" s="7"/>
      <c r="Q15" s="7"/>
      <c r="R15" s="7"/>
      <c r="S15" s="7"/>
      <c r="T15" s="7"/>
      <c r="U15" s="7"/>
      <c r="V15" s="7"/>
      <c r="W15" s="7"/>
      <c r="X15" s="7"/>
      <c r="Y15" s="7"/>
    </row>
    <row r="16" spans="1:25" x14ac:dyDescent="0.25">
      <c r="A16" t="s">
        <v>66</v>
      </c>
      <c r="B16" s="7"/>
      <c r="C16" s="42">
        <f>+Assumptions!C13</f>
        <v>1.9E-2</v>
      </c>
      <c r="D16" s="42">
        <f>+Assumptions!D13</f>
        <v>3.2000000000000001E-2</v>
      </c>
      <c r="E16" s="42">
        <f>+Assumptions!E13</f>
        <v>4.2000000000000003E-2</v>
      </c>
      <c r="F16" s="42">
        <f>+Assumptions!F13</f>
        <v>3.2000000000000001E-2</v>
      </c>
      <c r="G16" s="42">
        <f>+Assumptions!G13</f>
        <v>3.2000000000000001E-2</v>
      </c>
      <c r="H16" s="42">
        <f>+Assumptions!H13</f>
        <v>0.01</v>
      </c>
      <c r="I16" s="42">
        <f>+Assumptions!I13</f>
        <v>3.0000000000000001E-3</v>
      </c>
      <c r="J16" s="42">
        <f>+Assumptions!J13</f>
        <v>-1.0999999999999999E-2</v>
      </c>
      <c r="K16" s="42"/>
      <c r="L16" s="42"/>
      <c r="M16" s="42"/>
      <c r="N16" s="42"/>
      <c r="O16" s="7"/>
      <c r="P16" s="7"/>
      <c r="Q16" s="7"/>
      <c r="R16" s="7"/>
      <c r="S16" s="7"/>
      <c r="T16" s="7"/>
      <c r="U16" s="7"/>
      <c r="V16" s="7"/>
      <c r="W16" s="7"/>
      <c r="X16" s="21">
        <v>-7.0000000000000001E-3</v>
      </c>
      <c r="Y16" s="7"/>
    </row>
    <row r="17" spans="1:24" x14ac:dyDescent="0.25">
      <c r="A17" t="s">
        <v>52</v>
      </c>
      <c r="C17" s="106">
        <f>+'Actual - Summary IS by Qtr'!B10</f>
        <v>66829</v>
      </c>
      <c r="D17" s="106">
        <f>+'Actual - Summary IS by Qtr'!C10</f>
        <v>75362</v>
      </c>
      <c r="E17" s="106">
        <f>+'Actual - Summary IS by Qtr'!D10</f>
        <v>73910</v>
      </c>
      <c r="F17" s="106">
        <f>+'Actual - Summary IS by Qtr'!E10</f>
        <v>70961</v>
      </c>
      <c r="G17" s="106">
        <f>+'Actual - Summary IS by Qtr'!F10</f>
        <v>78054</v>
      </c>
      <c r="H17" s="106">
        <f>+'Actual - Summary IS by Qtr'!G10</f>
        <v>87909</v>
      </c>
      <c r="I17" s="106">
        <f>+'Actual - Summary IS by Qtr'!H10</f>
        <v>85597</v>
      </c>
      <c r="J17" s="106">
        <f>+'Actual - Summary IS by Qtr'!I10</f>
        <v>79053</v>
      </c>
      <c r="K17" s="106">
        <f t="shared" ref="K17:N17" si="7">+K11*K14</f>
        <v>0</v>
      </c>
      <c r="L17" s="106">
        <f t="shared" si="7"/>
        <v>0</v>
      </c>
      <c r="M17" s="106">
        <f t="shared" si="7"/>
        <v>0</v>
      </c>
      <c r="N17" s="106">
        <f t="shared" si="7"/>
        <v>0</v>
      </c>
      <c r="O17" s="7"/>
      <c r="P17" s="7"/>
      <c r="Q17" s="7"/>
      <c r="R17" s="7"/>
      <c r="S17" s="7"/>
      <c r="T17" s="7"/>
      <c r="U17" s="7"/>
      <c r="V17" s="7"/>
      <c r="W17" s="7"/>
      <c r="X17" s="7">
        <f>+Assumptions!K18</f>
        <v>86904</v>
      </c>
    </row>
    <row r="18" spans="1:24" hidden="1" x14ac:dyDescent="0.25">
      <c r="A18" t="s">
        <v>54</v>
      </c>
      <c r="C18" s="21">
        <f t="shared" ref="C18:F18" si="8">+C17/$F90</f>
        <v>0.23280336652012457</v>
      </c>
      <c r="D18" s="21">
        <f t="shared" si="8"/>
        <v>0.26252865234687978</v>
      </c>
      <c r="E18" s="21">
        <f t="shared" si="8"/>
        <v>0.2574705115967979</v>
      </c>
      <c r="F18" s="21">
        <f t="shared" si="8"/>
        <v>0.24719746953619776</v>
      </c>
      <c r="G18" s="21">
        <f t="shared" ref="G18:J18" si="9">+G17/$F90</f>
        <v>0.27190641742898747</v>
      </c>
      <c r="H18" s="21">
        <f t="shared" si="9"/>
        <v>0.30623698016456374</v>
      </c>
      <c r="I18" s="21">
        <f t="shared" si="9"/>
        <v>0.29818297092614138</v>
      </c>
      <c r="J18" s="21">
        <f t="shared" si="9"/>
        <v>0.27538650187067604</v>
      </c>
      <c r="K18" s="21"/>
      <c r="L18" s="21"/>
      <c r="M18" s="21"/>
      <c r="N18" s="21"/>
    </row>
    <row r="20" spans="1:24" x14ac:dyDescent="0.25">
      <c r="A20" t="s">
        <v>6</v>
      </c>
      <c r="C20" s="106">
        <f>+'Actual - Summary IS by Qtr'!B12</f>
        <v>17544</v>
      </c>
      <c r="D20" s="106">
        <f>+'Actual - Summary IS by Qtr'!C12</f>
        <v>19802</v>
      </c>
      <c r="E20" s="106">
        <f>+'Actual - Summary IS by Qtr'!D12</f>
        <v>19674</v>
      </c>
      <c r="F20" s="106">
        <f>+'Actual - Summary IS by Qtr'!E12</f>
        <v>18666</v>
      </c>
      <c r="G20" s="106">
        <f>+'Actual - Summary IS by Qtr'!F12</f>
        <v>19998</v>
      </c>
      <c r="H20" s="106">
        <f>+'Actual - Summary IS by Qtr'!G12</f>
        <v>22397</v>
      </c>
      <c r="I20" s="106">
        <f>+'Actual - Summary IS by Qtr'!H12</f>
        <v>22528</v>
      </c>
      <c r="J20" s="106">
        <f>+'Actual - Summary IS by Qtr'!I12</f>
        <v>20619</v>
      </c>
      <c r="K20" s="106">
        <f t="shared" ref="K20:N20" si="10">+K17*K21</f>
        <v>0</v>
      </c>
      <c r="L20" s="106">
        <f t="shared" si="10"/>
        <v>0</v>
      </c>
      <c r="M20" s="106">
        <f t="shared" si="10"/>
        <v>0</v>
      </c>
      <c r="N20" s="106">
        <f t="shared" si="10"/>
        <v>0</v>
      </c>
      <c r="X20" s="7">
        <f>+'Forecast - Summary IS by Qtr'!R12</f>
        <v>21825</v>
      </c>
    </row>
    <row r="21" spans="1:24" x14ac:dyDescent="0.25">
      <c r="A21" s="29" t="s">
        <v>56</v>
      </c>
      <c r="B21" s="29"/>
      <c r="C21" s="31">
        <f>+C20/C17</f>
        <v>0.26252076194466473</v>
      </c>
      <c r="D21" s="31">
        <f t="shared" ref="D21:F21" si="11">+D20/D17</f>
        <v>0.26275841936254346</v>
      </c>
      <c r="E21" s="31">
        <f t="shared" si="11"/>
        <v>0.26618860776620212</v>
      </c>
      <c r="F21" s="31">
        <f t="shared" si="11"/>
        <v>0.26304589845126197</v>
      </c>
      <c r="G21" s="31">
        <f t="shared" ref="G21:J21" si="12">+G20/G17</f>
        <v>0.25620724114074872</v>
      </c>
      <c r="H21" s="31">
        <f t="shared" si="12"/>
        <v>0.25477482396569179</v>
      </c>
      <c r="I21" s="31">
        <f t="shared" si="12"/>
        <v>0.2631867939296938</v>
      </c>
      <c r="J21" s="31">
        <f t="shared" si="12"/>
        <v>0.26082501612842018</v>
      </c>
      <c r="K21" s="122"/>
      <c r="L21" s="31"/>
      <c r="M21" s="31"/>
      <c r="N21" s="31"/>
      <c r="X21" s="21">
        <f>+X20/X17</f>
        <v>0.25113918806959401</v>
      </c>
    </row>
    <row r="23" spans="1:24" x14ac:dyDescent="0.25">
      <c r="A23" t="s">
        <v>167</v>
      </c>
      <c r="C23" s="106">
        <f>+'Actual - Summary IS by Qtr'!B13</f>
        <v>41684</v>
      </c>
      <c r="D23" s="106">
        <f>+'Actual - Summary IS by Qtr'!C13</f>
        <v>44769</v>
      </c>
      <c r="E23" s="106">
        <f>+'Actual - Summary IS by Qtr'!D13</f>
        <v>44394</v>
      </c>
      <c r="F23" s="106">
        <f>+'Actual - Summary IS by Qtr'!E13</f>
        <v>44593</v>
      </c>
      <c r="G23" s="106">
        <f>+'Actual - Summary IS by Qtr'!F13</f>
        <v>48090</v>
      </c>
      <c r="H23" s="106">
        <f>+'Actual - Summary IS by Qtr'!G13</f>
        <v>53475</v>
      </c>
      <c r="I23" s="106">
        <f>+'Actual - Summary IS by Qtr'!H13</f>
        <v>52118</v>
      </c>
      <c r="J23" s="106">
        <f>+'Actual - Summary IS by Qtr'!I13</f>
        <v>50449</v>
      </c>
      <c r="K23" s="106">
        <f t="shared" ref="K23:N23" si="13">+K17*K24</f>
        <v>0</v>
      </c>
      <c r="L23" s="106">
        <f t="shared" si="13"/>
        <v>0</v>
      </c>
      <c r="M23" s="106">
        <f t="shared" si="13"/>
        <v>0</v>
      </c>
      <c r="N23" s="106">
        <f t="shared" si="13"/>
        <v>0</v>
      </c>
      <c r="X23" s="7">
        <f>+Assumptions!K24+Assumptions!K27+Assumptions!K30+Assumptions!K33+Assumptions!K37+Assumptions!K40</f>
        <v>54457</v>
      </c>
    </row>
    <row r="24" spans="1:24" x14ac:dyDescent="0.25">
      <c r="A24" s="29" t="s">
        <v>56</v>
      </c>
      <c r="B24" s="29"/>
      <c r="C24" s="31">
        <f>+C23/C17</f>
        <v>0.62374119020185848</v>
      </c>
      <c r="D24" s="31">
        <f t="shared" ref="D24:F24" si="14">+D23/D17</f>
        <v>0.5940527056076006</v>
      </c>
      <c r="E24" s="31">
        <f t="shared" si="14"/>
        <v>0.60064943850629149</v>
      </c>
      <c r="F24" s="31">
        <f t="shared" si="14"/>
        <v>0.62841560857372358</v>
      </c>
      <c r="G24" s="31">
        <f t="shared" ref="G24:J24" si="15">+G23/G17</f>
        <v>0.61611192251518176</v>
      </c>
      <c r="H24" s="31">
        <f t="shared" si="15"/>
        <v>0.60829949151963958</v>
      </c>
      <c r="I24" s="31">
        <f t="shared" si="15"/>
        <v>0.60887647931586386</v>
      </c>
      <c r="J24" s="31">
        <f t="shared" si="15"/>
        <v>0.6381667994889505</v>
      </c>
      <c r="K24" s="122"/>
      <c r="L24" s="31"/>
      <c r="M24" s="31"/>
      <c r="N24" s="31"/>
      <c r="X24" s="21">
        <f>+X23/X17</f>
        <v>0.62663398692810457</v>
      </c>
    </row>
    <row r="26" spans="1:24" x14ac:dyDescent="0.25">
      <c r="A26" s="34" t="s">
        <v>164</v>
      </c>
      <c r="B26" s="29"/>
      <c r="C26" s="114">
        <f>+'Actual - Summary IS by Qtr'!B14</f>
        <v>0</v>
      </c>
      <c r="D26" s="114">
        <f>+'Actual - Summary IS by Qtr'!C14</f>
        <v>0</v>
      </c>
      <c r="E26" s="114">
        <f>+'Actual - Summary IS by Qtr'!D14</f>
        <v>0</v>
      </c>
      <c r="F26" s="114">
        <f>+'Actual - Summary IS by Qtr'!E14</f>
        <v>4360</v>
      </c>
      <c r="G26" s="114">
        <f>+'Actual - Summary IS by Qtr'!F14</f>
        <v>0</v>
      </c>
      <c r="H26" s="114">
        <f>+'Actual - Summary IS by Qtr'!G14</f>
        <v>0</v>
      </c>
      <c r="I26" s="114">
        <f>+'Actual - Summary IS by Qtr'!H14</f>
        <v>390</v>
      </c>
      <c r="J26" s="114">
        <f>+'Actual - Summary IS by Qtr'!I14</f>
        <v>1127</v>
      </c>
      <c r="K26" s="123">
        <v>0</v>
      </c>
      <c r="L26" s="114">
        <v>0</v>
      </c>
      <c r="M26" s="114">
        <v>0</v>
      </c>
      <c r="N26" s="114">
        <v>0</v>
      </c>
    </row>
    <row r="27" spans="1:24" x14ac:dyDescent="0.25">
      <c r="A27" s="95"/>
    </row>
    <row r="28" spans="1:24" x14ac:dyDescent="0.25">
      <c r="A28" s="95" t="s">
        <v>13</v>
      </c>
      <c r="C28" s="106">
        <f>+'Actual - Summary IS by Qtr'!B15</f>
        <v>3045</v>
      </c>
      <c r="D28" s="106">
        <f>+'Actual - Summary IS by Qtr'!C15</f>
        <v>3224</v>
      </c>
      <c r="E28" s="106">
        <f>+'Actual - Summary IS by Qtr'!D15</f>
        <v>3246</v>
      </c>
      <c r="F28" s="106">
        <f>+'Actual - Summary IS by Qtr'!E15</f>
        <v>3422</v>
      </c>
      <c r="G28" s="106">
        <f>+'Actual - Summary IS by Qtr'!F15</f>
        <v>3492</v>
      </c>
      <c r="H28" s="106">
        <f>+'Actual - Summary IS by Qtr'!G15</f>
        <v>3723</v>
      </c>
      <c r="I28" s="106">
        <f>+'Actual - Summary IS by Qtr'!H15</f>
        <v>3837</v>
      </c>
      <c r="J28" s="106">
        <f>+'Actual - Summary IS by Qtr'!I15</f>
        <v>4092</v>
      </c>
      <c r="K28" s="106">
        <f t="shared" ref="K28:N28" si="16">+K11*K29</f>
        <v>0</v>
      </c>
      <c r="L28" s="106">
        <f t="shared" si="16"/>
        <v>0</v>
      </c>
      <c r="M28" s="106">
        <f t="shared" si="16"/>
        <v>0</v>
      </c>
      <c r="N28" s="106">
        <f t="shared" si="16"/>
        <v>0</v>
      </c>
    </row>
    <row r="29" spans="1:24" x14ac:dyDescent="0.25">
      <c r="A29" s="29" t="s">
        <v>57</v>
      </c>
      <c r="B29" s="29"/>
      <c r="C29" s="114">
        <f>+C28/C11</f>
        <v>49.112903225806448</v>
      </c>
      <c r="D29" s="114">
        <f>+D28/D11</f>
        <v>51.174603174603178</v>
      </c>
      <c r="E29" s="114">
        <f>+E28/E11</f>
        <v>49.938461538461539</v>
      </c>
      <c r="F29" s="114">
        <f>+F28/F11</f>
        <v>49.594202898550726</v>
      </c>
      <c r="G29" s="114">
        <f t="shared" ref="G29:J29" si="17">+G28/G11</f>
        <v>49.183098591549296</v>
      </c>
      <c r="H29" s="114">
        <f t="shared" si="17"/>
        <v>49.64</v>
      </c>
      <c r="I29" s="114">
        <f t="shared" si="17"/>
        <v>49.831168831168831</v>
      </c>
      <c r="J29" s="114">
        <f t="shared" si="17"/>
        <v>51.15</v>
      </c>
      <c r="K29" s="123"/>
      <c r="L29" s="114"/>
      <c r="M29" s="114"/>
      <c r="N29" s="114"/>
    </row>
    <row r="30" spans="1:24" x14ac:dyDescent="0.25">
      <c r="C30" s="23"/>
      <c r="D30" s="23"/>
      <c r="E30" s="23"/>
      <c r="F30" s="23"/>
      <c r="G30" s="23"/>
      <c r="H30" s="23"/>
      <c r="I30" s="23"/>
      <c r="J30" s="23"/>
      <c r="K30" s="23"/>
      <c r="L30" s="23"/>
      <c r="M30" s="23"/>
      <c r="N30" s="23"/>
    </row>
    <row r="31" spans="1:24" x14ac:dyDescent="0.25">
      <c r="A31" t="s">
        <v>62</v>
      </c>
      <c r="C31" s="106">
        <f>+C17-C20-C23-C26-C28</f>
        <v>4556</v>
      </c>
      <c r="D31" s="106">
        <f t="shared" ref="D31:F31" si="18">+D17-D20-D23-D26-D28</f>
        <v>7567</v>
      </c>
      <c r="E31" s="106">
        <f t="shared" si="18"/>
        <v>6596</v>
      </c>
      <c r="F31" s="106">
        <f t="shared" si="18"/>
        <v>-80</v>
      </c>
      <c r="G31" s="106">
        <f t="shared" ref="G31:J31" si="19">+G17-G20-G23-G26-G28</f>
        <v>6474</v>
      </c>
      <c r="H31" s="106">
        <f t="shared" si="19"/>
        <v>8314</v>
      </c>
      <c r="I31" s="106">
        <f t="shared" si="19"/>
        <v>6724</v>
      </c>
      <c r="J31" s="106">
        <f t="shared" si="19"/>
        <v>2766</v>
      </c>
      <c r="K31" s="106">
        <f t="shared" ref="K31:N31" si="20">+K17-K20-K23-K26-K28</f>
        <v>0</v>
      </c>
      <c r="L31" s="106">
        <f t="shared" si="20"/>
        <v>0</v>
      </c>
      <c r="M31" s="106">
        <f t="shared" si="20"/>
        <v>0</v>
      </c>
      <c r="N31" s="106">
        <f t="shared" si="20"/>
        <v>0</v>
      </c>
    </row>
    <row r="32" spans="1:24" x14ac:dyDescent="0.25">
      <c r="A32" s="104" t="s">
        <v>63</v>
      </c>
      <c r="B32" s="104"/>
      <c r="C32" s="115">
        <f>+'Actual - Summary IS by Qtr'!B18</f>
        <v>1321</v>
      </c>
      <c r="D32" s="115">
        <f>+'Actual - Summary IS by Qtr'!C18</f>
        <v>2194</v>
      </c>
      <c r="E32" s="115">
        <f>+'Actual - Summary IS by Qtr'!D18</f>
        <v>2527</v>
      </c>
      <c r="F32" s="115">
        <f>+'Actual - Summary IS by Qtr'!E18</f>
        <v>-299</v>
      </c>
      <c r="G32" s="115">
        <f>+'Actual - Summary IS by Qtr'!F18</f>
        <v>1942</v>
      </c>
      <c r="H32" s="115">
        <f>+'Actual - Summary IS by Qtr'!G18</f>
        <v>2534</v>
      </c>
      <c r="I32" s="115">
        <f>+'Actual - Summary IS by Qtr'!H18</f>
        <v>2125</v>
      </c>
      <c r="J32" s="115">
        <f>+'Actual - Summary IS by Qtr'!I18</f>
        <v>433</v>
      </c>
      <c r="K32" s="115">
        <f t="shared" ref="K32:N32" si="21">+K31*K33</f>
        <v>0</v>
      </c>
      <c r="L32" s="115">
        <f t="shared" si="21"/>
        <v>0</v>
      </c>
      <c r="M32" s="115">
        <f t="shared" si="21"/>
        <v>0</v>
      </c>
      <c r="N32" s="115">
        <f t="shared" si="21"/>
        <v>0</v>
      </c>
    </row>
    <row r="33" spans="1:24" x14ac:dyDescent="0.25">
      <c r="A33" s="29" t="s">
        <v>64</v>
      </c>
      <c r="B33" s="29"/>
      <c r="C33" s="31">
        <f>+C32/C31</f>
        <v>0.28994732221246705</v>
      </c>
      <c r="D33" s="31">
        <f t="shared" ref="D33:F33" si="22">+D32/D31</f>
        <v>0.28994317430950178</v>
      </c>
      <c r="E33" s="31">
        <f t="shared" si="22"/>
        <v>0.38311097634930263</v>
      </c>
      <c r="F33" s="31">
        <f t="shared" si="22"/>
        <v>3.7374999999999998</v>
      </c>
      <c r="G33" s="31">
        <f t="shared" ref="G33:J33" si="23">+G32/G31</f>
        <v>0.29996910719802283</v>
      </c>
      <c r="H33" s="31">
        <f t="shared" si="23"/>
        <v>0.30478710608611981</v>
      </c>
      <c r="I33" s="31">
        <f t="shared" si="23"/>
        <v>0.31603212373587153</v>
      </c>
      <c r="J33" s="31">
        <f t="shared" si="23"/>
        <v>0.15654374548083877</v>
      </c>
      <c r="K33" s="122"/>
      <c r="L33" s="31"/>
      <c r="M33" s="31"/>
      <c r="N33" s="31"/>
    </row>
    <row r="37" spans="1:24" x14ac:dyDescent="0.25">
      <c r="A37" s="46" t="s">
        <v>166</v>
      </c>
      <c r="B37" s="48" t="s">
        <v>65</v>
      </c>
      <c r="C37" s="48" t="s">
        <v>65</v>
      </c>
      <c r="D37" s="48" t="s">
        <v>65</v>
      </c>
      <c r="E37" s="48" t="s">
        <v>65</v>
      </c>
      <c r="F37" s="48" t="s">
        <v>65</v>
      </c>
      <c r="G37" s="48" t="s">
        <v>65</v>
      </c>
      <c r="H37" s="48" t="s">
        <v>65</v>
      </c>
      <c r="I37" s="48" t="s">
        <v>65</v>
      </c>
      <c r="J37" s="48" t="s">
        <v>65</v>
      </c>
      <c r="K37" s="48" t="s">
        <v>51</v>
      </c>
    </row>
    <row r="38" spans="1:24" x14ac:dyDescent="0.25">
      <c r="B38" s="10" t="s">
        <v>33</v>
      </c>
      <c r="C38" s="12" t="s">
        <v>36</v>
      </c>
      <c r="D38" s="12" t="s">
        <v>37</v>
      </c>
      <c r="E38" s="12" t="s">
        <v>38</v>
      </c>
      <c r="F38" s="10" t="s">
        <v>33</v>
      </c>
      <c r="G38" s="12" t="s">
        <v>36</v>
      </c>
      <c r="H38" s="12" t="s">
        <v>37</v>
      </c>
      <c r="I38" s="12" t="s">
        <v>38</v>
      </c>
      <c r="J38" s="10" t="s">
        <v>33</v>
      </c>
      <c r="K38" s="12" t="s">
        <v>36</v>
      </c>
    </row>
    <row r="39" spans="1:24" x14ac:dyDescent="0.25">
      <c r="B39" s="11" t="s">
        <v>112</v>
      </c>
      <c r="C39" s="11" t="s">
        <v>34</v>
      </c>
      <c r="D39" s="11" t="s">
        <v>34</v>
      </c>
      <c r="E39" s="11" t="s">
        <v>34</v>
      </c>
      <c r="F39" s="11" t="s">
        <v>34</v>
      </c>
      <c r="G39" s="11" t="s">
        <v>39</v>
      </c>
      <c r="H39" s="11" t="s">
        <v>39</v>
      </c>
      <c r="I39" s="11" t="s">
        <v>39</v>
      </c>
      <c r="J39" s="11" t="s">
        <v>39</v>
      </c>
      <c r="K39" s="11" t="s">
        <v>50</v>
      </c>
    </row>
    <row r="40" spans="1:24" x14ac:dyDescent="0.25">
      <c r="A40" s="55" t="s">
        <v>188</v>
      </c>
      <c r="B40" s="7">
        <f>+'Actual - Summary BS by Qtr'!B11</f>
        <v>1848</v>
      </c>
      <c r="C40" s="7">
        <f>+'Actual - Summary BS by Qtr'!C11</f>
        <v>1637</v>
      </c>
      <c r="D40" s="7">
        <f>+'Actual - Summary BS by Qtr'!D11</f>
        <v>1727</v>
      </c>
      <c r="E40" s="7">
        <f>+'Actual - Summary BS by Qtr'!E11</f>
        <v>1670</v>
      </c>
      <c r="F40" s="7">
        <f>+'Actual - Summary BS by Qtr'!F11</f>
        <v>2312</v>
      </c>
      <c r="G40" s="7">
        <f>+'Actual - Summary BS by Qtr'!G11</f>
        <v>2181</v>
      </c>
      <c r="H40" s="7">
        <f>+'Actual - Summary BS by Qtr'!H11</f>
        <v>2061</v>
      </c>
      <c r="I40" s="7">
        <f>+'Actual - Summary BS by Qtr'!I11</f>
        <v>1981</v>
      </c>
      <c r="J40" s="7">
        <f>+'Actual - Summary BS by Qtr'!J11</f>
        <v>2583</v>
      </c>
      <c r="K40" s="7">
        <f t="shared" ref="K40:N40" si="24">+K41*K42</f>
        <v>0</v>
      </c>
      <c r="L40" s="7">
        <f t="shared" si="24"/>
        <v>0</v>
      </c>
      <c r="M40" s="7">
        <f t="shared" si="24"/>
        <v>0</v>
      </c>
      <c r="N40" s="7">
        <f t="shared" si="24"/>
        <v>0</v>
      </c>
      <c r="X40" s="7">
        <f>+'Actual - Summary BS by Qtr'!K11</f>
        <v>2298</v>
      </c>
    </row>
    <row r="41" spans="1:24" x14ac:dyDescent="0.25">
      <c r="A41" s="55" t="s">
        <v>190</v>
      </c>
      <c r="B41" s="7"/>
      <c r="C41" s="105">
        <f>+'Forecast - Summary IS by Qtr'!B10/(13*7)</f>
        <v>734.38461538461536</v>
      </c>
      <c r="D41" s="105">
        <f>+'Forecast - Summary IS by Qtr'!C10/(13*7)</f>
        <v>828.15384615384619</v>
      </c>
      <c r="E41" s="105">
        <f>+'Forecast - Summary IS by Qtr'!D10/(13*7)</f>
        <v>812.19780219780216</v>
      </c>
      <c r="F41" s="105">
        <f>+'Forecast - Summary IS by Qtr'!E10/(13*7)</f>
        <v>779.79120879120876</v>
      </c>
      <c r="G41" s="105">
        <f>+'Forecast - Summary IS by Qtr'!F10/(13*7)</f>
        <v>857.73626373626371</v>
      </c>
      <c r="H41" s="105">
        <f>+'Forecast - Summary IS by Qtr'!G10/(13*7)</f>
        <v>966.03296703296701</v>
      </c>
      <c r="I41" s="105">
        <f>+'Forecast - Summary IS by Qtr'!H10/(13*7)</f>
        <v>940.62637362637361</v>
      </c>
      <c r="J41" s="105">
        <f>+'Forecast - Summary IS by Qtr'!I10/(13*7)</f>
        <v>868.71428571428567</v>
      </c>
      <c r="K41" s="105">
        <f>+'Forecast - Summary IS by Qtr'!J10/(13*7)</f>
        <v>0</v>
      </c>
      <c r="L41" s="105">
        <f>+'Forecast - Summary IS by Qtr'!K10/(13*7)</f>
        <v>0</v>
      </c>
      <c r="M41" s="105">
        <f>+'Forecast - Summary IS by Qtr'!L10/(13*7)</f>
        <v>0</v>
      </c>
      <c r="N41" s="105">
        <f>+'Forecast - Summary IS by Qtr'!M10/(13*7)</f>
        <v>0</v>
      </c>
      <c r="X41" s="133">
        <f>+X17/13/7</f>
        <v>954.98901098901104</v>
      </c>
    </row>
    <row r="42" spans="1:24" x14ac:dyDescent="0.25">
      <c r="A42" s="98" t="s">
        <v>189</v>
      </c>
      <c r="B42" s="30"/>
      <c r="C42" s="32">
        <f>+C40/C41</f>
        <v>2.2290771970252434</v>
      </c>
      <c r="D42" s="32">
        <f t="shared" ref="D42:F42" si="25">+D40/D41</f>
        <v>2.0853613226825192</v>
      </c>
      <c r="E42" s="32">
        <f t="shared" si="25"/>
        <v>2.0561493708564473</v>
      </c>
      <c r="F42" s="32">
        <f t="shared" si="25"/>
        <v>2.964896210594552</v>
      </c>
      <c r="G42" s="32">
        <f t="shared" ref="G42:J42" si="26">+G40/G41</f>
        <v>2.5427396417864556</v>
      </c>
      <c r="H42" s="32">
        <f t="shared" si="26"/>
        <v>2.1334675630481521</v>
      </c>
      <c r="I42" s="32">
        <f t="shared" si="26"/>
        <v>2.1060434361017326</v>
      </c>
      <c r="J42" s="32">
        <f t="shared" si="26"/>
        <v>2.9733596447952642</v>
      </c>
      <c r="K42" s="124"/>
      <c r="L42" s="32"/>
      <c r="M42" s="32"/>
      <c r="N42" s="32"/>
      <c r="X42" s="32">
        <f t="shared" ref="X42" si="27">+X40/X41</f>
        <v>2.4063104114885387</v>
      </c>
    </row>
    <row r="43" spans="1:24" hidden="1" x14ac:dyDescent="0.25">
      <c r="A43" s="104" t="s">
        <v>56</v>
      </c>
      <c r="B43" s="104"/>
      <c r="C43" s="42">
        <f>+C40/C17</f>
        <v>2.4495353813464214E-2</v>
      </c>
      <c r="D43" s="42">
        <f t="shared" ref="D43:F43" si="28">+D40/D17</f>
        <v>2.2916058491016692E-2</v>
      </c>
      <c r="E43" s="42">
        <f t="shared" si="28"/>
        <v>2.2595048031389529E-2</v>
      </c>
      <c r="F43" s="42">
        <f t="shared" si="28"/>
        <v>3.2581277039500568E-2</v>
      </c>
      <c r="G43" s="42">
        <f t="shared" ref="G43:J43" si="29">+G40/G17</f>
        <v>2.7942193865785225E-2</v>
      </c>
      <c r="H43" s="42">
        <f t="shared" si="29"/>
        <v>2.3444698495034638E-2</v>
      </c>
      <c r="I43" s="42">
        <f t="shared" si="29"/>
        <v>2.3143334462656401E-2</v>
      </c>
      <c r="J43" s="42">
        <f t="shared" si="29"/>
        <v>3.2674281810936963E-2</v>
      </c>
      <c r="K43" s="42">
        <v>2.5000000000000001E-2</v>
      </c>
      <c r="L43" s="42">
        <v>2.5000000000000001E-2</v>
      </c>
      <c r="M43" s="42">
        <v>2.5000000000000001E-2</v>
      </c>
      <c r="N43" s="42">
        <v>2.5000000000000001E-2</v>
      </c>
    </row>
    <row r="45" spans="1:24" x14ac:dyDescent="0.25">
      <c r="A45" s="55" t="s">
        <v>168</v>
      </c>
      <c r="C45" s="7">
        <f>+'Actual - Summary BS by Qtr'!B12</f>
        <v>7251</v>
      </c>
      <c r="D45" s="7">
        <f>+'Actual - Summary BS by Qtr'!C12</f>
        <v>4382</v>
      </c>
      <c r="E45" s="7">
        <f>+'Actual - Summary BS by Qtr'!D12</f>
        <v>5741</v>
      </c>
      <c r="F45" s="7">
        <f>+'Actual - Summary BS by Qtr'!E12</f>
        <v>4918</v>
      </c>
      <c r="G45" s="7">
        <f>+'Actual - Summary BS by Qtr'!F12</f>
        <v>6382</v>
      </c>
      <c r="H45" s="7">
        <f>+'Actual - Summary BS by Qtr'!G12</f>
        <v>7682</v>
      </c>
      <c r="I45" s="7">
        <f>+'Actual - Summary BS by Qtr'!H12</f>
        <v>9306</v>
      </c>
      <c r="J45" s="7">
        <f>+'Actual - Summary BS by Qtr'!I12</f>
        <v>11982</v>
      </c>
      <c r="K45" s="7">
        <f t="shared" ref="K45:N45" si="30">+K17*K46</f>
        <v>0</v>
      </c>
      <c r="L45" s="7">
        <f t="shared" si="30"/>
        <v>0</v>
      </c>
      <c r="M45" s="7">
        <f t="shared" si="30"/>
        <v>0</v>
      </c>
      <c r="N45" s="7">
        <f t="shared" si="30"/>
        <v>0</v>
      </c>
      <c r="X45" s="7">
        <f>+'Actual - Summary BS by Qtr'!K12</f>
        <v>11909</v>
      </c>
    </row>
    <row r="46" spans="1:24" x14ac:dyDescent="0.25">
      <c r="A46" s="29" t="s">
        <v>56</v>
      </c>
      <c r="B46" s="29"/>
      <c r="C46" s="31">
        <f>+C45/C17</f>
        <v>0.10850080055065915</v>
      </c>
      <c r="D46" s="31">
        <f t="shared" ref="D46:F46" si="31">+D45/D17</f>
        <v>5.814601523314137E-2</v>
      </c>
      <c r="E46" s="31">
        <f t="shared" si="31"/>
        <v>7.76755513462319E-2</v>
      </c>
      <c r="F46" s="31">
        <f t="shared" si="31"/>
        <v>6.9305674948210994E-2</v>
      </c>
      <c r="G46" s="31">
        <f t="shared" ref="G46:J46" si="32">+G45/G17</f>
        <v>8.176390703871679E-2</v>
      </c>
      <c r="H46" s="31">
        <f t="shared" si="32"/>
        <v>8.7385819426907374E-2</v>
      </c>
      <c r="I46" s="31">
        <f t="shared" si="32"/>
        <v>0.10871876350806688</v>
      </c>
      <c r="J46" s="31">
        <f t="shared" si="32"/>
        <v>0.15156920040985161</v>
      </c>
      <c r="K46" s="122"/>
      <c r="L46" s="31"/>
      <c r="M46" s="31"/>
      <c r="N46" s="31"/>
      <c r="X46" s="31">
        <f t="shared" ref="X46" si="33">+X45/X17</f>
        <v>0.13703626990702383</v>
      </c>
    </row>
    <row r="48" spans="1:24" x14ac:dyDescent="0.25">
      <c r="A48" s="55" t="s">
        <v>93</v>
      </c>
      <c r="B48" s="7">
        <f>+'Actual - Summary BS by Qtr'!B15</f>
        <v>118807</v>
      </c>
      <c r="C48" s="7">
        <f>+'Actual - Summary BS by Qtr'!C15</f>
        <v>122199</v>
      </c>
      <c r="D48" s="7">
        <f>+'Actual - Summary BS by Qtr'!D15</f>
        <v>125003</v>
      </c>
      <c r="E48" s="7">
        <f>+'Actual - Summary BS by Qtr'!E15</f>
        <v>130236</v>
      </c>
      <c r="F48" s="7">
        <f>+'Actual - Summary BS by Qtr'!F15</f>
        <v>136493</v>
      </c>
      <c r="G48" s="7">
        <f>+'Actual - Summary BS by Qtr'!G15</f>
        <v>144054</v>
      </c>
      <c r="H48" s="7">
        <f>+'Actual - Summary BS by Qtr'!H15</f>
        <v>152472</v>
      </c>
      <c r="I48" s="7">
        <f>+'Actual - Summary BS by Qtr'!I15</f>
        <v>159036</v>
      </c>
      <c r="J48" s="7">
        <f>+'Actual - Summary BS by Qtr'!J15</f>
        <v>165150</v>
      </c>
      <c r="K48" s="7">
        <f t="shared" ref="K48:N48" si="34">+J48-K28-K49</f>
        <v>165150</v>
      </c>
      <c r="L48" s="7">
        <f t="shared" si="34"/>
        <v>165150</v>
      </c>
      <c r="M48" s="7">
        <f t="shared" si="34"/>
        <v>165150</v>
      </c>
      <c r="N48" s="7">
        <f t="shared" si="34"/>
        <v>165150</v>
      </c>
    </row>
    <row r="49" spans="1:28" x14ac:dyDescent="0.25">
      <c r="A49" t="s">
        <v>154</v>
      </c>
      <c r="C49" s="7">
        <f>+B48-C48-C28</f>
        <v>-6437</v>
      </c>
      <c r="D49" s="7">
        <f t="shared" ref="D49:F49" si="35">+C48-D48-D28</f>
        <v>-6028</v>
      </c>
      <c r="E49" s="7">
        <f t="shared" si="35"/>
        <v>-8479</v>
      </c>
      <c r="F49" s="7">
        <f t="shared" si="35"/>
        <v>-9679</v>
      </c>
      <c r="G49" s="7">
        <f t="shared" ref="G49" si="36">+F48-G48-G28</f>
        <v>-11053</v>
      </c>
      <c r="H49" s="7">
        <f t="shared" ref="H49" si="37">+G48-H48-H28</f>
        <v>-12141</v>
      </c>
      <c r="I49" s="7">
        <f t="shared" ref="I49" si="38">+H48-I48-I28</f>
        <v>-10401</v>
      </c>
      <c r="J49" s="7">
        <f t="shared" ref="J49" si="39">+I48-J48-J28</f>
        <v>-10206</v>
      </c>
      <c r="K49" s="125"/>
      <c r="L49" s="125"/>
      <c r="M49" s="125"/>
      <c r="N49" s="125"/>
      <c r="X49" s="7">
        <f>+'Actual - Summary CF by Qtr'!J23</f>
        <v>-7358</v>
      </c>
      <c r="Y49" t="s">
        <v>265</v>
      </c>
    </row>
    <row r="50" spans="1:28" hidden="1" x14ac:dyDescent="0.25">
      <c r="A50" s="29" t="s">
        <v>173</v>
      </c>
      <c r="B50" s="29"/>
      <c r="C50" s="30">
        <f>-C49/(C11-B11)</f>
        <v>2145.6666666666665</v>
      </c>
      <c r="D50" s="30">
        <f>-D49/(D11-C11)</f>
        <v>6028</v>
      </c>
      <c r="E50" s="30">
        <f>-E49/(E11-D11)</f>
        <v>4239.5</v>
      </c>
      <c r="F50" s="30">
        <f>-F49/(F11-E11)</f>
        <v>2419.75</v>
      </c>
      <c r="G50" s="30">
        <f t="shared" ref="G50:J50" si="40">-G49/(G11-F11)</f>
        <v>5526.5</v>
      </c>
      <c r="H50" s="30">
        <f t="shared" si="40"/>
        <v>3035.25</v>
      </c>
      <c r="I50" s="30">
        <f t="shared" si="40"/>
        <v>5200.5</v>
      </c>
      <c r="J50" s="30">
        <f t="shared" si="40"/>
        <v>3402</v>
      </c>
      <c r="K50" s="125"/>
      <c r="L50" s="30"/>
      <c r="M50" s="30"/>
      <c r="N50" s="30"/>
    </row>
    <row r="51" spans="1:28" hidden="1" x14ac:dyDescent="0.25">
      <c r="A51" t="s">
        <v>174</v>
      </c>
      <c r="C51" s="7">
        <f t="shared" ref="C51:F51" si="41">-C49/C11</f>
        <v>103.8225806451613</v>
      </c>
      <c r="D51" s="7">
        <f t="shared" si="41"/>
        <v>95.682539682539684</v>
      </c>
      <c r="E51" s="7">
        <f t="shared" si="41"/>
        <v>130.44615384615383</v>
      </c>
      <c r="F51" s="7">
        <f t="shared" si="41"/>
        <v>140.27536231884059</v>
      </c>
      <c r="G51" s="7">
        <f t="shared" ref="G51:J51" si="42">-G49/G11</f>
        <v>155.67605633802816</v>
      </c>
      <c r="H51" s="7">
        <f t="shared" si="42"/>
        <v>161.88</v>
      </c>
      <c r="I51" s="7">
        <f t="shared" si="42"/>
        <v>135.07792207792207</v>
      </c>
      <c r="J51" s="7">
        <f t="shared" si="42"/>
        <v>127.575</v>
      </c>
      <c r="K51" s="7" t="e">
        <f t="shared" ref="K51:N51" si="43">-K49/K11</f>
        <v>#DIV/0!</v>
      </c>
      <c r="L51" s="7" t="e">
        <f t="shared" si="43"/>
        <v>#DIV/0!</v>
      </c>
      <c r="M51" s="7" t="e">
        <f t="shared" si="43"/>
        <v>#DIV/0!</v>
      </c>
      <c r="N51" s="7" t="e">
        <f t="shared" si="43"/>
        <v>#DIV/0!</v>
      </c>
    </row>
    <row r="52" spans="1:28" x14ac:dyDescent="0.25">
      <c r="AA52" t="s">
        <v>70</v>
      </c>
      <c r="AB52" t="s">
        <v>267</v>
      </c>
    </row>
    <row r="53" spans="1:28" x14ac:dyDescent="0.25">
      <c r="A53" s="55" t="s">
        <v>153</v>
      </c>
      <c r="B53" s="97">
        <f>+'Actual - Summary BS by Qtr'!B22</f>
        <v>17968</v>
      </c>
      <c r="C53" s="97">
        <f>+'Actual - Summary BS by Qtr'!C22</f>
        <v>16544</v>
      </c>
      <c r="D53" s="97">
        <f>+'Actual - Summary BS by Qtr'!D22</f>
        <v>21780</v>
      </c>
      <c r="E53" s="97">
        <f>+'Actual - Summary BS by Qtr'!E22</f>
        <v>21795</v>
      </c>
      <c r="F53" s="97">
        <f>+'Actual - Summary BS by Qtr'!F22</f>
        <v>25008</v>
      </c>
      <c r="G53" s="97">
        <f>+'Actual - Summary BS by Qtr'!G22</f>
        <v>21284</v>
      </c>
      <c r="H53" s="97">
        <f>+'Actual - Summary BS by Qtr'!H22</f>
        <v>29949</v>
      </c>
      <c r="I53" s="97">
        <f>+'Actual - Summary BS by Qtr'!I22</f>
        <v>26396</v>
      </c>
      <c r="J53" s="97">
        <f>+'Actual - Summary BS by Qtr'!J22</f>
        <v>28106</v>
      </c>
      <c r="K53" s="7">
        <f>+K55*K56</f>
        <v>0</v>
      </c>
      <c r="L53" s="97">
        <f t="shared" ref="L53:N53" si="44">+L55*L56</f>
        <v>0</v>
      </c>
      <c r="M53" s="97">
        <f t="shared" si="44"/>
        <v>0</v>
      </c>
      <c r="N53" s="97">
        <f t="shared" si="44"/>
        <v>0</v>
      </c>
      <c r="X53" s="7">
        <f>+'Actual - Summary CF by Qtr'!J15</f>
        <v>-3242</v>
      </c>
      <c r="Y53" t="s">
        <v>266</v>
      </c>
      <c r="AA53" s="97">
        <f>+'Actual - Summary BS by Qtr'!K22</f>
        <v>27055</v>
      </c>
      <c r="AB53" s="7">
        <f>+AA53-'Forecast - Summary CF Drivers'!R31</f>
        <v>24416</v>
      </c>
    </row>
    <row r="54" spans="1:28" hidden="1" x14ac:dyDescent="0.25">
      <c r="A54" s="104" t="s">
        <v>56</v>
      </c>
      <c r="B54" s="104"/>
      <c r="C54" s="42">
        <f>+C53/C17</f>
        <v>0.24755719822232863</v>
      </c>
      <c r="D54" s="42">
        <f t="shared" ref="D54:F54" si="45">+D53/D17</f>
        <v>0.28900506886759908</v>
      </c>
      <c r="E54" s="42">
        <f t="shared" si="45"/>
        <v>0.29488567176295494</v>
      </c>
      <c r="F54" s="42">
        <f t="shared" si="45"/>
        <v>0.35241893434421723</v>
      </c>
      <c r="G54" s="42">
        <f t="shared" ref="G54:N54" si="46">+G53/G17</f>
        <v>0.27268301432341713</v>
      </c>
      <c r="H54" s="42">
        <f t="shared" si="46"/>
        <v>0.34068184144968094</v>
      </c>
      <c r="I54" s="42">
        <f t="shared" si="46"/>
        <v>0.30837529352664228</v>
      </c>
      <c r="J54" s="42">
        <f t="shared" si="46"/>
        <v>0.35553362933728005</v>
      </c>
      <c r="K54" s="42" t="e">
        <f t="shared" si="46"/>
        <v>#DIV/0!</v>
      </c>
      <c r="L54" s="42" t="e">
        <f t="shared" si="46"/>
        <v>#DIV/0!</v>
      </c>
      <c r="M54" s="42" t="e">
        <f t="shared" si="46"/>
        <v>#DIV/0!</v>
      </c>
      <c r="N54" s="42" t="e">
        <f t="shared" si="46"/>
        <v>#DIV/0!</v>
      </c>
    </row>
    <row r="55" spans="1:28" x14ac:dyDescent="0.25">
      <c r="A55" s="55" t="s">
        <v>190</v>
      </c>
      <c r="B55" s="104"/>
      <c r="C55" s="105">
        <f>SUM('Forecast - Summary IS by Qtr'!B12:B14)/(13*7)</f>
        <v>650.85714285714289</v>
      </c>
      <c r="D55" s="105">
        <f>SUM('Forecast - Summary IS by Qtr'!C12:C14)/(13*7)</f>
        <v>709.57142857142856</v>
      </c>
      <c r="E55" s="105">
        <f>SUM('Forecast - Summary IS by Qtr'!D12:D14)/(13*7)</f>
        <v>704.04395604395609</v>
      </c>
      <c r="F55" s="105">
        <f>+F41</f>
        <v>779.79120879120876</v>
      </c>
      <c r="G55" s="105">
        <f t="shared" ref="G55:N55" si="47">+G41</f>
        <v>857.73626373626371</v>
      </c>
      <c r="H55" s="105">
        <f t="shared" si="47"/>
        <v>966.03296703296701</v>
      </c>
      <c r="I55" s="105">
        <f t="shared" si="47"/>
        <v>940.62637362637361</v>
      </c>
      <c r="J55" s="105">
        <f t="shared" si="47"/>
        <v>868.71428571428567</v>
      </c>
      <c r="K55" s="105">
        <f t="shared" si="47"/>
        <v>0</v>
      </c>
      <c r="L55" s="105">
        <f t="shared" si="47"/>
        <v>0</v>
      </c>
      <c r="M55" s="105">
        <f t="shared" si="47"/>
        <v>0</v>
      </c>
      <c r="N55" s="105">
        <f t="shared" si="47"/>
        <v>0</v>
      </c>
    </row>
    <row r="56" spans="1:28" x14ac:dyDescent="0.25">
      <c r="A56" s="29" t="s">
        <v>187</v>
      </c>
      <c r="B56" s="29"/>
      <c r="C56" s="30">
        <f>+C53/C55</f>
        <v>25.418788410886741</v>
      </c>
      <c r="D56" s="30">
        <f t="shared" ref="D56:F56" si="48">+D53/D55</f>
        <v>30.694584256090195</v>
      </c>
      <c r="E56" s="30">
        <f t="shared" si="48"/>
        <v>30.956873946431916</v>
      </c>
      <c r="F56" s="30">
        <f t="shared" si="48"/>
        <v>32.070123025323774</v>
      </c>
      <c r="G56" s="30">
        <f t="shared" ref="G56:J56" si="49">+G53/G55</f>
        <v>24.814154303430961</v>
      </c>
      <c r="H56" s="30">
        <f t="shared" si="49"/>
        <v>31.002047571920965</v>
      </c>
      <c r="I56" s="30">
        <f t="shared" si="49"/>
        <v>28.06215171092445</v>
      </c>
      <c r="J56" s="30">
        <f t="shared" si="49"/>
        <v>32.353560269692487</v>
      </c>
      <c r="K56" s="125"/>
      <c r="L56" s="30"/>
      <c r="M56" s="30"/>
      <c r="N56" s="30"/>
    </row>
    <row r="58" spans="1:28" x14ac:dyDescent="0.25">
      <c r="A58" s="55" t="s">
        <v>171</v>
      </c>
      <c r="B58" s="7">
        <f>+'Actual - Summary BS by Qtr'!B24</f>
        <v>34306</v>
      </c>
      <c r="C58" s="7">
        <f>+'Actual - Summary BS by Qtr'!C24</f>
        <v>35684</v>
      </c>
      <c r="D58" s="7">
        <f>+'Actual - Summary BS by Qtr'!D24</f>
        <v>38201</v>
      </c>
      <c r="E58" s="7">
        <f>+'Actual - Summary BS by Qtr'!E24</f>
        <v>41060</v>
      </c>
      <c r="F58" s="7">
        <f>+'Actual - Summary BS by Qtr'!F24</f>
        <v>43383</v>
      </c>
      <c r="G58" s="7">
        <f>+'Actual - Summary BS by Qtr'!G24</f>
        <v>47196</v>
      </c>
      <c r="H58" s="7">
        <f>+'Actual - Summary BS by Qtr'!H24</f>
        <v>47663</v>
      </c>
      <c r="I58" s="7">
        <f>+'Actual - Summary BS by Qtr'!I24</f>
        <v>54490</v>
      </c>
      <c r="J58" s="7">
        <f>+'Actual - Summary BS by Qtr'!J24</f>
        <v>55557</v>
      </c>
      <c r="K58" s="7">
        <f t="shared" ref="K58:N58" si="50">+K17*K59</f>
        <v>0</v>
      </c>
      <c r="L58" s="7">
        <f t="shared" si="50"/>
        <v>0</v>
      </c>
      <c r="M58" s="7">
        <f t="shared" si="50"/>
        <v>0</v>
      </c>
      <c r="N58" s="7">
        <f t="shared" si="50"/>
        <v>0</v>
      </c>
      <c r="X58" s="7">
        <f>+'Actual - Summary BS by Qtr'!K24</f>
        <v>58373</v>
      </c>
    </row>
    <row r="59" spans="1:28" x14ac:dyDescent="0.25">
      <c r="A59" s="29" t="s">
        <v>56</v>
      </c>
      <c r="B59" s="29"/>
      <c r="C59" s="31">
        <f>+C58/C17</f>
        <v>0.53395980786784181</v>
      </c>
      <c r="D59" s="31">
        <f t="shared" ref="D59:F59" si="51">+D58/D17</f>
        <v>0.50690002919243116</v>
      </c>
      <c r="E59" s="31">
        <f t="shared" si="51"/>
        <v>0.55554052225679884</v>
      </c>
      <c r="F59" s="31">
        <f t="shared" si="51"/>
        <v>0.61136398866983277</v>
      </c>
      <c r="G59" s="31">
        <f t="shared" ref="G59:J59" si="52">+G58/G17</f>
        <v>0.60465831347528631</v>
      </c>
      <c r="H59" s="31">
        <f t="shared" si="52"/>
        <v>0.54218566927163314</v>
      </c>
      <c r="I59" s="31">
        <f t="shared" si="52"/>
        <v>0.63658773087841869</v>
      </c>
      <c r="J59" s="31">
        <f t="shared" si="52"/>
        <v>0.70278167811468251</v>
      </c>
      <c r="K59" s="122"/>
      <c r="L59" s="31"/>
      <c r="M59" s="31"/>
      <c r="N59" s="31"/>
      <c r="X59" s="31">
        <f t="shared" ref="X59" si="53">+X58/X17</f>
        <v>0.67169520390315751</v>
      </c>
    </row>
    <row r="61" spans="1:28" x14ac:dyDescent="0.25">
      <c r="A61" s="98" t="s">
        <v>155</v>
      </c>
      <c r="B61" s="30">
        <f>+'Actual - Summary BS by Qtr'!B25</f>
        <v>8750</v>
      </c>
      <c r="C61" s="30">
        <f>+'Actual - Summary BS by Qtr'!C25</f>
        <v>8500</v>
      </c>
      <c r="D61" s="30">
        <f>+'Actual - Summary BS by Qtr'!D25</f>
        <v>0</v>
      </c>
      <c r="E61" s="30">
        <f>+'Actual - Summary BS by Qtr'!E25</f>
        <v>0</v>
      </c>
      <c r="F61" s="30">
        <f>+'Actual - Summary BS by Qtr'!F25</f>
        <v>0</v>
      </c>
      <c r="G61" s="30">
        <f>+'Actual - Summary BS by Qtr'!G25</f>
        <v>0</v>
      </c>
      <c r="H61" s="30">
        <f>+'Actual - Summary BS by Qtr'!H25</f>
        <v>0</v>
      </c>
      <c r="I61" s="30">
        <f>+'Actual - Summary BS by Qtr'!I25</f>
        <v>0</v>
      </c>
      <c r="J61" s="30">
        <f>+'Actual - Summary BS by Qtr'!J25</f>
        <v>0</v>
      </c>
      <c r="K61" s="125">
        <v>0</v>
      </c>
      <c r="L61" s="30">
        <v>0</v>
      </c>
      <c r="M61" s="30">
        <v>0</v>
      </c>
      <c r="N61" s="30">
        <v>0</v>
      </c>
      <c r="X61">
        <v>0</v>
      </c>
    </row>
    <row r="66" spans="1:11" x14ac:dyDescent="0.25">
      <c r="A66" t="s">
        <v>19</v>
      </c>
      <c r="C66" s="7">
        <f t="shared" ref="C66:F66" si="54">+C31-C32</f>
        <v>3235</v>
      </c>
      <c r="D66" s="7">
        <f t="shared" si="54"/>
        <v>5373</v>
      </c>
      <c r="E66" s="7">
        <f t="shared" si="54"/>
        <v>4069</v>
      </c>
      <c r="F66" s="7">
        <f t="shared" si="54"/>
        <v>219</v>
      </c>
      <c r="G66" s="7">
        <f t="shared" ref="G66:J66" si="55">+G31-G32</f>
        <v>4532</v>
      </c>
      <c r="H66" s="7">
        <f t="shared" si="55"/>
        <v>5780</v>
      </c>
      <c r="I66" s="7">
        <f t="shared" si="55"/>
        <v>4599</v>
      </c>
      <c r="J66" s="7">
        <f t="shared" si="55"/>
        <v>2333</v>
      </c>
      <c r="K66" s="7">
        <f t="shared" ref="K66" si="56">+K31-K32</f>
        <v>0</v>
      </c>
    </row>
    <row r="67" spans="1:11" x14ac:dyDescent="0.25">
      <c r="A67" t="s">
        <v>56</v>
      </c>
      <c r="C67" s="21">
        <f t="shared" ref="C67:F67" si="57">+C66/C17</f>
        <v>4.8407128641757322E-2</v>
      </c>
      <c r="D67" s="21">
        <f t="shared" si="57"/>
        <v>7.1295878559486214E-2</v>
      </c>
      <c r="E67" s="21">
        <f t="shared" si="57"/>
        <v>5.5053443377080236E-2</v>
      </c>
      <c r="F67" s="21">
        <f t="shared" si="57"/>
        <v>3.0862022801257027E-3</v>
      </c>
      <c r="G67" s="21">
        <f t="shared" ref="G67:J67" si="58">+G66/G17</f>
        <v>5.8062367079201579E-2</v>
      </c>
      <c r="H67" s="21">
        <f t="shared" si="58"/>
        <v>6.5749809462057357E-2</v>
      </c>
      <c r="I67" s="21">
        <f t="shared" si="58"/>
        <v>5.372851852284543E-2</v>
      </c>
      <c r="J67" s="21">
        <f t="shared" si="58"/>
        <v>2.951184648273943E-2</v>
      </c>
      <c r="K67" s="21" t="e">
        <f t="shared" ref="K67" si="59">+K66/K17</f>
        <v>#DIV/0!</v>
      </c>
    </row>
    <row r="69" spans="1:11" x14ac:dyDescent="0.25">
      <c r="A69" t="s">
        <v>183</v>
      </c>
      <c r="B69" s="97">
        <f>+'Actual - Summary BS by Qtr'!B10</f>
        <v>3815</v>
      </c>
      <c r="C69" s="97">
        <f>+'Actual - Summary BS by Qtr'!C10</f>
        <v>6779</v>
      </c>
      <c r="D69" s="97">
        <f>+'Actual - Summary BS by Qtr'!D10</f>
        <v>7634</v>
      </c>
      <c r="E69" s="97">
        <f>+'Actual - Summary BS by Qtr'!E10</f>
        <v>10598</v>
      </c>
      <c r="F69" s="97">
        <f>+'Actual - Summary BS by Qtr'!F10</f>
        <v>8529</v>
      </c>
      <c r="G69" s="97">
        <f>+'Actual - Summary BS by Qtr'!G10</f>
        <v>4824</v>
      </c>
      <c r="H69" s="97">
        <f>+'Actual - Summary BS by Qtr'!H10</f>
        <v>13769</v>
      </c>
      <c r="I69" s="97">
        <f>+'Actual - Summary BS by Qtr'!I10</f>
        <v>13944</v>
      </c>
      <c r="J69" s="97">
        <f>+'Actual - Summary BS by Qtr'!J10</f>
        <v>13694</v>
      </c>
      <c r="K69" s="97">
        <f>+'Forecast - Summary BS by Qtr'!K10</f>
        <v>-55974</v>
      </c>
    </row>
    <row r="72" spans="1:11" x14ac:dyDescent="0.25">
      <c r="A72" t="s">
        <v>197</v>
      </c>
      <c r="K72" s="58">
        <v>16900</v>
      </c>
    </row>
    <row r="73" spans="1:11" x14ac:dyDescent="0.25">
      <c r="A73" t="s">
        <v>198</v>
      </c>
      <c r="K73" s="111">
        <f>+K66/K72</f>
        <v>0</v>
      </c>
    </row>
    <row r="88" spans="1:10" x14ac:dyDescent="0.25">
      <c r="F88" s="9" t="s">
        <v>55</v>
      </c>
      <c r="J88" s="9" t="s">
        <v>55</v>
      </c>
    </row>
    <row r="89" spans="1:10" x14ac:dyDescent="0.25">
      <c r="F89" s="11" t="s">
        <v>34</v>
      </c>
      <c r="J89" s="11" t="s">
        <v>39</v>
      </c>
    </row>
    <row r="90" spans="1:10" x14ac:dyDescent="0.25">
      <c r="A90" t="s">
        <v>52</v>
      </c>
      <c r="F90" s="7">
        <f>SUM(C17:F17)</f>
        <v>287062</v>
      </c>
      <c r="J90" s="7">
        <f>SUM(G17:J17)</f>
        <v>330613</v>
      </c>
    </row>
  </sheetData>
  <pageMargins left="0.7" right="0.7" top="0.75" bottom="0.75" header="0.3" footer="0.3"/>
  <pageSetup scale="5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
  <sheetViews>
    <sheetView workbookViewId="0">
      <pane xSplit="1" ySplit="8" topLeftCell="B9" activePane="bottomRight" state="frozen"/>
      <selection pane="topRight" activeCell="B1" sqref="B1"/>
      <selection pane="bottomLeft" activeCell="A11" sqref="A11"/>
      <selection pane="bottomRight" activeCell="J13" sqref="J13"/>
    </sheetView>
  </sheetViews>
  <sheetFormatPr defaultColWidth="9.140625" defaultRowHeight="15" x14ac:dyDescent="0.25"/>
  <cols>
    <col min="1" max="1" width="43.85546875" style="46" customWidth="1"/>
    <col min="2" max="2" width="13.140625" style="46" customWidth="1"/>
    <col min="3" max="3" width="12.28515625" style="46" customWidth="1"/>
    <col min="4" max="5" width="11.42578125" style="46" customWidth="1"/>
    <col min="6" max="6" width="11.5703125" style="46" customWidth="1"/>
    <col min="7" max="7" width="11.28515625" style="46" customWidth="1"/>
    <col min="8" max="8" width="12.42578125" style="46" customWidth="1"/>
    <col min="9" max="9" width="12.28515625" style="46" customWidth="1"/>
    <col min="10" max="11" width="12.85546875" style="46" customWidth="1"/>
    <col min="12" max="12" width="11.5703125" style="46" customWidth="1"/>
    <col min="13" max="13" width="11.28515625" style="46" customWidth="1"/>
    <col min="14" max="16384" width="9.140625" style="46"/>
  </cols>
  <sheetData>
    <row r="1" spans="1:33" x14ac:dyDescent="0.25">
      <c r="A1" s="46" t="s">
        <v>0</v>
      </c>
    </row>
    <row r="2" spans="1:33" x14ac:dyDescent="0.25">
      <c r="A2" s="46" t="s">
        <v>165</v>
      </c>
    </row>
    <row r="3" spans="1:33" x14ac:dyDescent="0.25">
      <c r="A3" s="46" t="s">
        <v>166</v>
      </c>
    </row>
    <row r="6" spans="1:33" x14ac:dyDescent="0.25">
      <c r="A6" s="47"/>
      <c r="B6" s="48" t="s">
        <v>65</v>
      </c>
      <c r="C6" s="48" t="s">
        <v>65</v>
      </c>
      <c r="D6" s="48" t="s">
        <v>65</v>
      </c>
      <c r="E6" s="48" t="s">
        <v>65</v>
      </c>
      <c r="F6" s="48" t="s">
        <v>65</v>
      </c>
      <c r="G6" s="48" t="s">
        <v>65</v>
      </c>
      <c r="H6" s="48" t="s">
        <v>65</v>
      </c>
      <c r="I6" s="48" t="s">
        <v>65</v>
      </c>
      <c r="J6" s="48" t="s">
        <v>65</v>
      </c>
      <c r="K6" s="48"/>
      <c r="L6" s="48" t="s">
        <v>65</v>
      </c>
      <c r="M6" s="48" t="s">
        <v>65</v>
      </c>
    </row>
    <row r="7" spans="1:33" x14ac:dyDescent="0.25">
      <c r="A7" s="55" t="s">
        <v>1</v>
      </c>
      <c r="B7" s="50" t="s">
        <v>36</v>
      </c>
      <c r="C7" s="50" t="s">
        <v>37</v>
      </c>
      <c r="D7" s="50" t="s">
        <v>38</v>
      </c>
      <c r="E7" s="49" t="s">
        <v>33</v>
      </c>
      <c r="F7" s="50" t="s">
        <v>36</v>
      </c>
      <c r="G7" s="50" t="s">
        <v>37</v>
      </c>
      <c r="H7" s="50" t="s">
        <v>38</v>
      </c>
      <c r="I7" s="49" t="s">
        <v>33</v>
      </c>
      <c r="J7" s="50" t="s">
        <v>36</v>
      </c>
      <c r="K7" s="50"/>
      <c r="L7" s="49" t="s">
        <v>161</v>
      </c>
      <c r="M7" s="49" t="s">
        <v>161</v>
      </c>
    </row>
    <row r="8" spans="1:33" x14ac:dyDescent="0.25">
      <c r="A8" s="55" t="s">
        <v>1</v>
      </c>
      <c r="B8" s="51" t="s">
        <v>34</v>
      </c>
      <c r="C8" s="51" t="s">
        <v>34</v>
      </c>
      <c r="D8" s="51" t="s">
        <v>34</v>
      </c>
      <c r="E8" s="51" t="s">
        <v>34</v>
      </c>
      <c r="F8" s="51" t="s">
        <v>39</v>
      </c>
      <c r="G8" s="51" t="s">
        <v>39</v>
      </c>
      <c r="H8" s="51" t="s">
        <v>39</v>
      </c>
      <c r="I8" s="51" t="s">
        <v>39</v>
      </c>
      <c r="J8" s="51" t="s">
        <v>50</v>
      </c>
      <c r="K8" s="81"/>
      <c r="L8" s="51" t="s">
        <v>34</v>
      </c>
      <c r="M8" s="51" t="s">
        <v>39</v>
      </c>
    </row>
    <row r="9" spans="1:33" x14ac:dyDescent="0.25">
      <c r="A9" s="55"/>
      <c r="B9" s="81"/>
      <c r="C9" s="81"/>
      <c r="D9" s="81"/>
      <c r="E9" s="81"/>
      <c r="F9" s="81"/>
      <c r="G9" s="81"/>
      <c r="H9" s="81"/>
      <c r="I9" s="81"/>
      <c r="J9" s="81"/>
      <c r="K9" s="81"/>
      <c r="L9" s="81"/>
      <c r="M9" s="81"/>
    </row>
    <row r="10" spans="1:33" x14ac:dyDescent="0.25">
      <c r="A10" s="55" t="s">
        <v>4</v>
      </c>
      <c r="B10" s="89">
        <f>+'IS by Qtr'!B11</f>
        <v>66829</v>
      </c>
      <c r="C10" s="89">
        <f>+'IS by Qtr'!C11</f>
        <v>75362</v>
      </c>
      <c r="D10" s="89">
        <f>+'IS by Qtr'!D11</f>
        <v>73910</v>
      </c>
      <c r="E10" s="89">
        <f>+'IS by Qtr'!E11</f>
        <v>70961</v>
      </c>
      <c r="F10" s="89">
        <f>+'IS by Qtr'!F11</f>
        <v>78054</v>
      </c>
      <c r="G10" s="89">
        <f>+'IS by Qtr'!G11</f>
        <v>87909</v>
      </c>
      <c r="H10" s="89">
        <f>+'IS by Qtr'!H11</f>
        <v>85597</v>
      </c>
      <c r="I10" s="89">
        <f>+'IS by Qtr'!I11</f>
        <v>79053</v>
      </c>
      <c r="J10" s="89">
        <f>+'IS by Qtr'!J11</f>
        <v>86904</v>
      </c>
      <c r="K10" s="83"/>
      <c r="L10" s="89">
        <v>287062</v>
      </c>
      <c r="M10" s="89">
        <v>330613</v>
      </c>
      <c r="N10" s="82"/>
      <c r="O10" s="82"/>
      <c r="P10" s="82"/>
      <c r="Q10" s="82"/>
      <c r="R10" s="82"/>
      <c r="S10" s="82"/>
      <c r="T10" s="82"/>
      <c r="U10" s="82"/>
      <c r="V10" s="82"/>
      <c r="W10" s="82"/>
      <c r="X10" s="82"/>
      <c r="Y10" s="82"/>
      <c r="Z10" s="82"/>
      <c r="AA10" s="82"/>
      <c r="AB10" s="82"/>
      <c r="AC10" s="53"/>
      <c r="AD10" s="53"/>
      <c r="AE10" s="53"/>
      <c r="AF10" s="53"/>
      <c r="AG10" s="53"/>
    </row>
    <row r="11" spans="1:33" x14ac:dyDescent="0.25">
      <c r="A11" s="55"/>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53"/>
      <c r="AD11" s="53"/>
      <c r="AE11" s="53"/>
      <c r="AF11" s="53"/>
      <c r="AG11" s="53"/>
    </row>
    <row r="12" spans="1:33" x14ac:dyDescent="0.25">
      <c r="A12" s="55" t="s">
        <v>6</v>
      </c>
      <c r="B12" s="83">
        <f>+'IS by Qtr'!B13</f>
        <v>17544</v>
      </c>
      <c r="C12" s="83">
        <f>+'IS by Qtr'!C13</f>
        <v>19802</v>
      </c>
      <c r="D12" s="83">
        <f>+'IS by Qtr'!D13</f>
        <v>19674</v>
      </c>
      <c r="E12" s="83">
        <f>+'IS by Qtr'!E13</f>
        <v>18666</v>
      </c>
      <c r="F12" s="83">
        <f>+'IS by Qtr'!F13</f>
        <v>19998</v>
      </c>
      <c r="G12" s="83">
        <f>+'IS by Qtr'!G13</f>
        <v>22397</v>
      </c>
      <c r="H12" s="83">
        <f>+'IS by Qtr'!H13</f>
        <v>22528</v>
      </c>
      <c r="I12" s="83">
        <f>+'IS by Qtr'!I13</f>
        <v>20619</v>
      </c>
      <c r="J12" s="83">
        <f>+'IS by Qtr'!J13</f>
        <v>21825</v>
      </c>
      <c r="K12" s="83"/>
      <c r="L12" s="83">
        <v>75686</v>
      </c>
      <c r="M12" s="83">
        <v>85542</v>
      </c>
      <c r="N12" s="82"/>
      <c r="O12" s="82"/>
      <c r="P12" s="82"/>
      <c r="Q12" s="82"/>
      <c r="R12" s="82"/>
      <c r="S12" s="82"/>
      <c r="T12" s="82"/>
      <c r="U12" s="82"/>
      <c r="V12" s="82"/>
      <c r="W12" s="82"/>
      <c r="X12" s="82"/>
      <c r="Y12" s="82"/>
      <c r="Z12" s="82"/>
      <c r="AA12" s="82"/>
      <c r="AB12" s="82"/>
      <c r="AC12" s="53"/>
      <c r="AD12" s="53"/>
      <c r="AE12" s="53"/>
      <c r="AF12" s="53"/>
      <c r="AG12" s="53"/>
    </row>
    <row r="13" spans="1:33" x14ac:dyDescent="0.25">
      <c r="A13" s="55" t="s">
        <v>8</v>
      </c>
      <c r="B13" s="83">
        <f>SUM('IS by Qtr'!B14:B19)</f>
        <v>41684</v>
      </c>
      <c r="C13" s="83">
        <f>SUM('IS by Qtr'!C14:C19)</f>
        <v>44769</v>
      </c>
      <c r="D13" s="83">
        <f>SUM('IS by Qtr'!D14:D19)</f>
        <v>44394</v>
      </c>
      <c r="E13" s="83">
        <f>SUM('IS by Qtr'!E14:E19)</f>
        <v>44593</v>
      </c>
      <c r="F13" s="83">
        <f>SUM('IS by Qtr'!F14:F19)</f>
        <v>48090</v>
      </c>
      <c r="G13" s="83">
        <f>SUM('IS by Qtr'!G14:G19)</f>
        <v>53475</v>
      </c>
      <c r="H13" s="83">
        <f>SUM('IS by Qtr'!H14:H19)</f>
        <v>52118</v>
      </c>
      <c r="I13" s="83">
        <f>SUM('IS by Qtr'!I14:I19)</f>
        <v>50449</v>
      </c>
      <c r="J13" s="83">
        <f>SUM('IS by Qtr'!J14:J19)</f>
        <v>54457</v>
      </c>
      <c r="K13" s="83"/>
      <c r="L13" s="83">
        <v>93625</v>
      </c>
      <c r="M13" s="83">
        <v>110730</v>
      </c>
      <c r="N13" s="82"/>
      <c r="O13" s="82"/>
      <c r="P13" s="82"/>
      <c r="Q13" s="82"/>
      <c r="R13" s="82"/>
      <c r="S13" s="82"/>
      <c r="T13" s="82"/>
      <c r="U13" s="82"/>
      <c r="V13" s="82"/>
      <c r="W13" s="82"/>
      <c r="X13" s="82"/>
      <c r="Y13" s="82"/>
      <c r="Z13" s="82"/>
      <c r="AA13" s="82"/>
      <c r="AB13" s="82"/>
      <c r="AC13" s="53"/>
      <c r="AD13" s="53"/>
      <c r="AE13" s="53"/>
      <c r="AF13" s="53"/>
      <c r="AG13" s="53"/>
    </row>
    <row r="14" spans="1:33" x14ac:dyDescent="0.25">
      <c r="A14" s="55" t="s">
        <v>164</v>
      </c>
      <c r="B14" s="83">
        <f>+'IS by Qtr'!B20</f>
        <v>0</v>
      </c>
      <c r="C14" s="83">
        <f>+'IS by Qtr'!C20</f>
        <v>0</v>
      </c>
      <c r="D14" s="83">
        <f>+'IS by Qtr'!D20</f>
        <v>0</v>
      </c>
      <c r="E14" s="83">
        <f>+'IS by Qtr'!E20</f>
        <v>4360</v>
      </c>
      <c r="F14" s="83">
        <f>+'IS by Qtr'!F20</f>
        <v>0</v>
      </c>
      <c r="G14" s="83">
        <f>+'IS by Qtr'!G20</f>
        <v>0</v>
      </c>
      <c r="H14" s="83">
        <f>+'IS by Qtr'!H20</f>
        <v>390</v>
      </c>
      <c r="I14" s="83">
        <f>+'IS by Qtr'!I20</f>
        <v>1127</v>
      </c>
      <c r="J14" s="83">
        <f>+'IS by Qtr'!J20</f>
        <v>0</v>
      </c>
      <c r="K14" s="83"/>
      <c r="L14" s="83">
        <v>4360</v>
      </c>
      <c r="M14" s="83">
        <v>1517</v>
      </c>
      <c r="N14" s="82"/>
      <c r="O14" s="82"/>
      <c r="P14" s="82"/>
      <c r="Q14" s="82"/>
      <c r="R14" s="82"/>
      <c r="S14" s="82"/>
      <c r="T14" s="82"/>
      <c r="U14" s="82"/>
      <c r="V14" s="82"/>
      <c r="W14" s="82"/>
      <c r="X14" s="82"/>
      <c r="Y14" s="82"/>
      <c r="Z14" s="82"/>
      <c r="AA14" s="82"/>
      <c r="AB14" s="82"/>
      <c r="AC14" s="53"/>
      <c r="AD14" s="53"/>
      <c r="AE14" s="53"/>
      <c r="AF14" s="53"/>
      <c r="AG14" s="53"/>
    </row>
    <row r="15" spans="1:33" x14ac:dyDescent="0.25">
      <c r="A15" s="55" t="s">
        <v>13</v>
      </c>
      <c r="B15" s="85">
        <f>+'IS by Qtr'!B21+'IS by Qtr'!B25</f>
        <v>3045</v>
      </c>
      <c r="C15" s="85">
        <f>+'IS by Qtr'!C21+'IS by Qtr'!C25</f>
        <v>3224</v>
      </c>
      <c r="D15" s="85">
        <f>+'IS by Qtr'!D21+'IS by Qtr'!D25</f>
        <v>3246</v>
      </c>
      <c r="E15" s="85">
        <f>+'IS by Qtr'!E21+'IS by Qtr'!E25</f>
        <v>3422</v>
      </c>
      <c r="F15" s="85">
        <f>+'IS by Qtr'!F21+'IS by Qtr'!F25</f>
        <v>3492</v>
      </c>
      <c r="G15" s="85">
        <f>+'IS by Qtr'!G21+'IS by Qtr'!G25</f>
        <v>3723</v>
      </c>
      <c r="H15" s="85">
        <f>+'IS by Qtr'!H21+'IS by Qtr'!H25</f>
        <v>3837</v>
      </c>
      <c r="I15" s="85">
        <f>+'IS by Qtr'!I21+'IS by Qtr'!I25</f>
        <v>4092</v>
      </c>
      <c r="J15" s="85">
        <f>+'IS by Qtr'!J21+'IS by Qtr'!J25</f>
        <v>4177</v>
      </c>
      <c r="K15" s="83"/>
      <c r="L15" s="85">
        <v>12827</v>
      </c>
      <c r="M15" s="85">
        <v>15081</v>
      </c>
      <c r="N15" s="82"/>
      <c r="O15" s="82"/>
      <c r="P15" s="82"/>
      <c r="Q15" s="82"/>
      <c r="R15" s="82"/>
      <c r="S15" s="82"/>
      <c r="T15" s="82"/>
      <c r="U15" s="82"/>
      <c r="V15" s="82"/>
      <c r="W15" s="82"/>
      <c r="X15" s="82"/>
      <c r="Y15" s="82"/>
      <c r="Z15" s="82"/>
      <c r="AA15" s="82"/>
      <c r="AB15" s="82"/>
      <c r="AC15" s="53"/>
      <c r="AD15" s="53"/>
      <c r="AE15" s="53"/>
      <c r="AF15" s="53"/>
      <c r="AG15" s="53"/>
    </row>
    <row r="16" spans="1:33" x14ac:dyDescent="0.25">
      <c r="A16" s="55" t="s">
        <v>14</v>
      </c>
      <c r="B16" s="91">
        <f>SUM(B12:B15)</f>
        <v>62273</v>
      </c>
      <c r="C16" s="91">
        <f t="shared" ref="C16:I16" si="0">SUM(C12:C15)</f>
        <v>67795</v>
      </c>
      <c r="D16" s="91">
        <f t="shared" si="0"/>
        <v>67314</v>
      </c>
      <c r="E16" s="91">
        <f t="shared" si="0"/>
        <v>71041</v>
      </c>
      <c r="F16" s="91">
        <f t="shared" si="0"/>
        <v>71580</v>
      </c>
      <c r="G16" s="91">
        <f t="shared" si="0"/>
        <v>79595</v>
      </c>
      <c r="H16" s="91">
        <f t="shared" si="0"/>
        <v>78873</v>
      </c>
      <c r="I16" s="91">
        <f t="shared" si="0"/>
        <v>76287</v>
      </c>
      <c r="J16" s="91">
        <f t="shared" ref="J16" si="1">SUM(J12:J15)</f>
        <v>80459</v>
      </c>
      <c r="K16" s="83"/>
      <c r="L16" s="91">
        <v>268313</v>
      </c>
      <c r="M16" s="91">
        <v>306272</v>
      </c>
      <c r="N16" s="82"/>
      <c r="O16" s="82"/>
      <c r="P16" s="82"/>
      <c r="Q16" s="82"/>
      <c r="R16" s="82"/>
      <c r="S16" s="82"/>
      <c r="T16" s="82"/>
      <c r="U16" s="82"/>
      <c r="V16" s="82"/>
      <c r="W16" s="82"/>
      <c r="X16" s="82"/>
      <c r="Y16" s="82"/>
      <c r="Z16" s="82"/>
      <c r="AA16" s="82"/>
      <c r="AB16" s="82"/>
      <c r="AC16" s="53"/>
      <c r="AD16" s="53"/>
      <c r="AE16" s="53"/>
      <c r="AF16" s="53"/>
      <c r="AG16" s="53"/>
    </row>
    <row r="17" spans="1:33" x14ac:dyDescent="0.25">
      <c r="A17" s="55" t="s">
        <v>17</v>
      </c>
      <c r="B17" s="83">
        <f>+B10-B16</f>
        <v>4556</v>
      </c>
      <c r="C17" s="83">
        <f t="shared" ref="C17:I17" si="2">+C10-C16</f>
        <v>7567</v>
      </c>
      <c r="D17" s="83">
        <f t="shared" si="2"/>
        <v>6596</v>
      </c>
      <c r="E17" s="83">
        <f t="shared" si="2"/>
        <v>-80</v>
      </c>
      <c r="F17" s="83">
        <f t="shared" si="2"/>
        <v>6474</v>
      </c>
      <c r="G17" s="83">
        <f t="shared" si="2"/>
        <v>8314</v>
      </c>
      <c r="H17" s="83">
        <f t="shared" si="2"/>
        <v>6724</v>
      </c>
      <c r="I17" s="83">
        <f t="shared" si="2"/>
        <v>2766</v>
      </c>
      <c r="J17" s="83">
        <f t="shared" ref="J17" si="3">+J10-J16</f>
        <v>6445</v>
      </c>
      <c r="K17" s="83"/>
      <c r="L17" s="83">
        <v>18639</v>
      </c>
      <c r="M17" s="83">
        <v>24278</v>
      </c>
      <c r="N17" s="82"/>
      <c r="O17" s="82"/>
      <c r="P17" s="82"/>
      <c r="Q17" s="82"/>
      <c r="R17" s="82"/>
      <c r="S17" s="82"/>
      <c r="T17" s="82"/>
      <c r="U17" s="82"/>
      <c r="V17" s="82"/>
      <c r="W17" s="82"/>
      <c r="X17" s="82"/>
      <c r="Y17" s="82"/>
      <c r="Z17" s="82"/>
      <c r="AA17" s="82"/>
      <c r="AB17" s="82"/>
      <c r="AC17" s="53"/>
      <c r="AD17" s="53"/>
      <c r="AE17" s="53"/>
      <c r="AF17" s="53"/>
      <c r="AG17" s="53"/>
    </row>
    <row r="18" spans="1:33" x14ac:dyDescent="0.25">
      <c r="A18" s="55" t="s">
        <v>18</v>
      </c>
      <c r="B18" s="85">
        <f>+'IS by Qtr'!B27</f>
        <v>1321</v>
      </c>
      <c r="C18" s="85">
        <f>+'IS by Qtr'!C27</f>
        <v>2194</v>
      </c>
      <c r="D18" s="85">
        <f>+'IS by Qtr'!D27</f>
        <v>2527</v>
      </c>
      <c r="E18" s="85">
        <f>+'IS by Qtr'!E27</f>
        <v>-299</v>
      </c>
      <c r="F18" s="85">
        <f>+'IS by Qtr'!F27</f>
        <v>1942</v>
      </c>
      <c r="G18" s="85">
        <f>+'IS by Qtr'!G27</f>
        <v>2534</v>
      </c>
      <c r="H18" s="85">
        <f>+'IS by Qtr'!H27</f>
        <v>2125</v>
      </c>
      <c r="I18" s="85">
        <f>+'IS by Qtr'!I27</f>
        <v>433</v>
      </c>
      <c r="J18" s="85">
        <f>+'IS by Qtr'!J27</f>
        <v>1895</v>
      </c>
      <c r="K18" s="83"/>
      <c r="L18" s="85">
        <v>5743</v>
      </c>
      <c r="M18" s="85">
        <v>7034</v>
      </c>
      <c r="N18" s="82"/>
      <c r="O18" s="82"/>
      <c r="P18" s="82"/>
      <c r="Q18" s="82"/>
      <c r="R18" s="82"/>
      <c r="S18" s="82"/>
      <c r="T18" s="82"/>
      <c r="U18" s="82"/>
      <c r="V18" s="82"/>
      <c r="W18" s="82"/>
      <c r="X18" s="82"/>
      <c r="Y18" s="82"/>
      <c r="Z18" s="82"/>
      <c r="AA18" s="82"/>
      <c r="AB18" s="82"/>
      <c r="AC18" s="53"/>
      <c r="AD18" s="53"/>
      <c r="AE18" s="53"/>
      <c r="AF18" s="53"/>
      <c r="AG18" s="53"/>
    </row>
    <row r="19" spans="1:33" x14ac:dyDescent="0.25">
      <c r="A19" s="55"/>
      <c r="B19" s="83"/>
      <c r="C19" s="83"/>
      <c r="D19" s="83"/>
      <c r="E19" s="83"/>
      <c r="F19" s="83"/>
      <c r="G19" s="83"/>
      <c r="H19" s="83"/>
      <c r="I19" s="83"/>
      <c r="J19" s="83"/>
      <c r="K19" s="83"/>
      <c r="L19" s="83"/>
      <c r="M19" s="83"/>
      <c r="N19" s="82"/>
      <c r="O19" s="82"/>
      <c r="P19" s="82"/>
      <c r="Q19" s="82"/>
      <c r="R19" s="82"/>
      <c r="S19" s="82"/>
      <c r="T19" s="82"/>
      <c r="U19" s="82"/>
      <c r="V19" s="82"/>
      <c r="W19" s="82"/>
      <c r="X19" s="82"/>
      <c r="Y19" s="82"/>
      <c r="Z19" s="82"/>
      <c r="AA19" s="82"/>
      <c r="AB19" s="82"/>
      <c r="AC19" s="53"/>
      <c r="AD19" s="53"/>
      <c r="AE19" s="53"/>
      <c r="AF19" s="53"/>
      <c r="AG19" s="53"/>
    </row>
    <row r="20" spans="1:33" ht="15.75" thickBot="1" x14ac:dyDescent="0.3">
      <c r="A20" s="55" t="s">
        <v>19</v>
      </c>
      <c r="B20" s="87">
        <f>+B17-B18</f>
        <v>3235</v>
      </c>
      <c r="C20" s="87">
        <f t="shared" ref="C20:I20" si="4">+C17-C18</f>
        <v>5373</v>
      </c>
      <c r="D20" s="87">
        <f t="shared" si="4"/>
        <v>4069</v>
      </c>
      <c r="E20" s="87">
        <f t="shared" si="4"/>
        <v>219</v>
      </c>
      <c r="F20" s="87">
        <f t="shared" si="4"/>
        <v>4532</v>
      </c>
      <c r="G20" s="87">
        <f t="shared" si="4"/>
        <v>5780</v>
      </c>
      <c r="H20" s="87">
        <f t="shared" si="4"/>
        <v>4599</v>
      </c>
      <c r="I20" s="87">
        <f t="shared" si="4"/>
        <v>2333</v>
      </c>
      <c r="J20" s="87">
        <f t="shared" ref="J20" si="5">+J17-J18</f>
        <v>4550</v>
      </c>
      <c r="K20" s="83"/>
      <c r="L20" s="87">
        <v>12896</v>
      </c>
      <c r="M20" s="87">
        <v>17244</v>
      </c>
      <c r="N20" s="82"/>
      <c r="O20" s="82"/>
      <c r="P20" s="82"/>
      <c r="Q20" s="82"/>
      <c r="R20" s="82"/>
      <c r="S20" s="82"/>
      <c r="T20" s="82"/>
      <c r="U20" s="82"/>
      <c r="V20" s="82"/>
      <c r="W20" s="82"/>
      <c r="X20" s="82"/>
      <c r="Y20" s="82"/>
      <c r="Z20" s="82"/>
      <c r="AA20" s="82"/>
      <c r="AB20" s="82"/>
      <c r="AC20" s="53"/>
      <c r="AD20" s="53"/>
      <c r="AE20" s="53"/>
      <c r="AF20" s="53"/>
      <c r="AG20" s="53"/>
    </row>
    <row r="21" spans="1:33" ht="15.75" thickTop="1" x14ac:dyDescent="0.25">
      <c r="A21" s="55" t="s">
        <v>20</v>
      </c>
      <c r="B21" s="47"/>
      <c r="C21" s="47"/>
      <c r="D21" s="47"/>
      <c r="E21" s="47"/>
      <c r="F21" s="47"/>
      <c r="G21" s="47"/>
      <c r="H21" s="47"/>
      <c r="I21" s="47"/>
      <c r="J21" s="47"/>
      <c r="K21" s="47"/>
      <c r="L21" s="47"/>
      <c r="M21" s="47"/>
    </row>
    <row r="22" spans="1:33" x14ac:dyDescent="0.25">
      <c r="A22" s="55"/>
      <c r="B22" s="47"/>
      <c r="C22" s="47"/>
      <c r="D22" s="47"/>
      <c r="E22" s="47"/>
      <c r="F22" s="47"/>
      <c r="G22" s="47"/>
      <c r="H22" s="47"/>
      <c r="I22" s="47"/>
      <c r="J22" s="47"/>
      <c r="K22" s="47"/>
      <c r="L22" s="47"/>
      <c r="M22" s="47"/>
    </row>
    <row r="23" spans="1:33" x14ac:dyDescent="0.25">
      <c r="A23" s="55"/>
      <c r="B23" s="47"/>
      <c r="C23" s="47"/>
      <c r="D23" s="47"/>
      <c r="E23" s="47"/>
      <c r="F23" s="47"/>
      <c r="G23" s="47"/>
      <c r="H23" s="47"/>
      <c r="I23" s="47"/>
      <c r="J23" s="47"/>
      <c r="K23" s="47"/>
      <c r="L23" s="47"/>
      <c r="M23" s="47"/>
    </row>
    <row r="24" spans="1:33" x14ac:dyDescent="0.25">
      <c r="A24" s="55" t="s">
        <v>32</v>
      </c>
      <c r="B24" s="93">
        <f>+'IS by Qtr'!B29</f>
        <v>3235</v>
      </c>
      <c r="C24" s="93">
        <f>+'IS by Qtr'!C29</f>
        <v>5373</v>
      </c>
      <c r="D24" s="93">
        <f>+'IS by Qtr'!D29</f>
        <v>4069</v>
      </c>
      <c r="E24" s="93">
        <f>+'IS by Qtr'!E29</f>
        <v>219</v>
      </c>
      <c r="F24" s="93">
        <f>+'IS by Qtr'!F29</f>
        <v>4532</v>
      </c>
      <c r="G24" s="93">
        <f>+'IS by Qtr'!G29</f>
        <v>5780</v>
      </c>
      <c r="H24" s="93">
        <f>+'IS by Qtr'!H29</f>
        <v>4599</v>
      </c>
      <c r="I24" s="93">
        <f>+'IS by Qtr'!I29</f>
        <v>2333</v>
      </c>
      <c r="J24" s="47"/>
      <c r="K24" s="47"/>
      <c r="L24" s="47"/>
      <c r="M24" s="47"/>
    </row>
    <row r="25" spans="1:33" x14ac:dyDescent="0.25">
      <c r="A25" s="55"/>
      <c r="B25" s="94">
        <f t="shared" ref="B25:I25" si="6">+B20-B24</f>
        <v>0</v>
      </c>
      <c r="C25" s="94">
        <f t="shared" si="6"/>
        <v>0</v>
      </c>
      <c r="D25" s="94">
        <f t="shared" si="6"/>
        <v>0</v>
      </c>
      <c r="E25" s="94">
        <f t="shared" si="6"/>
        <v>0</v>
      </c>
      <c r="F25" s="94">
        <f t="shared" si="6"/>
        <v>0</v>
      </c>
      <c r="G25" s="94">
        <f t="shared" si="6"/>
        <v>0</v>
      </c>
      <c r="H25" s="94">
        <f t="shared" si="6"/>
        <v>0</v>
      </c>
      <c r="I25" s="94">
        <f t="shared" si="6"/>
        <v>0</v>
      </c>
      <c r="J25" s="47"/>
      <c r="K25" s="47"/>
      <c r="L25" s="47"/>
      <c r="M25" s="47"/>
    </row>
    <row r="26" spans="1:33" x14ac:dyDescent="0.25">
      <c r="A26" s="55"/>
      <c r="B26" s="47"/>
      <c r="C26" s="47"/>
      <c r="D26" s="47"/>
      <c r="F26" s="47"/>
      <c r="G26" s="47"/>
      <c r="H26" s="47"/>
      <c r="J26" s="47"/>
      <c r="K26" s="47"/>
      <c r="L26" s="47"/>
      <c r="M26" s="47"/>
    </row>
    <row r="27" spans="1:33" x14ac:dyDescent="0.25">
      <c r="A27" s="55"/>
      <c r="B27" s="47"/>
      <c r="C27" s="47"/>
      <c r="D27" s="47"/>
      <c r="F27" s="47"/>
      <c r="G27" s="47"/>
      <c r="H27" s="47"/>
      <c r="J27" s="47"/>
      <c r="K27" s="47"/>
      <c r="L27" s="47"/>
      <c r="M27" s="47"/>
    </row>
    <row r="28" spans="1:33" x14ac:dyDescent="0.25">
      <c r="A28" s="55"/>
      <c r="B28" s="47"/>
      <c r="C28" s="47"/>
      <c r="D28" s="47"/>
      <c r="F28" s="47"/>
      <c r="G28" s="47"/>
      <c r="H28" s="47"/>
      <c r="J28" s="47"/>
      <c r="K28" s="47"/>
      <c r="L28" s="47"/>
      <c r="M28" s="47"/>
    </row>
    <row r="29" spans="1:33" x14ac:dyDescent="0.25">
      <c r="A29" s="55"/>
      <c r="B29" s="47"/>
      <c r="C29" s="47"/>
      <c r="D29" s="47"/>
      <c r="F29" s="47"/>
      <c r="G29" s="47"/>
      <c r="H29" s="47"/>
      <c r="J29" s="47"/>
      <c r="K29" s="47"/>
      <c r="L29" s="47"/>
      <c r="M29" s="47"/>
    </row>
    <row r="30" spans="1:33" x14ac:dyDescent="0.25">
      <c r="A30" s="55"/>
      <c r="B30" s="47"/>
      <c r="C30" s="47"/>
      <c r="D30" s="47"/>
      <c r="F30" s="47"/>
      <c r="G30" s="47"/>
      <c r="H30" s="47"/>
      <c r="J30" s="47"/>
      <c r="K30" s="47"/>
      <c r="L30" s="47"/>
      <c r="M30" s="47"/>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K15" sqref="K15"/>
    </sheetView>
  </sheetViews>
  <sheetFormatPr defaultColWidth="8.7109375" defaultRowHeight="15" x14ac:dyDescent="0.25"/>
  <cols>
    <col min="1" max="1" width="42.85546875" style="46" customWidth="1"/>
    <col min="2" max="2" width="12.85546875" style="46" customWidth="1"/>
    <col min="3" max="3" width="12.28515625" style="46" customWidth="1"/>
    <col min="4" max="4" width="12.42578125" style="46" customWidth="1"/>
    <col min="5" max="5" width="12.5703125" style="46" customWidth="1"/>
    <col min="6" max="6" width="11.5703125" style="46" customWidth="1"/>
    <col min="7" max="7" width="9.5703125" style="46" customWidth="1"/>
    <col min="8" max="8" width="11" style="46" customWidth="1"/>
    <col min="9" max="9" width="10.5703125" style="46" customWidth="1"/>
    <col min="10" max="10" width="9.5703125" style="46" customWidth="1"/>
    <col min="11" max="11" width="9.85546875" style="46" customWidth="1"/>
    <col min="12" max="13" width="9.5703125" style="46" customWidth="1"/>
    <col min="14" max="16384" width="8.7109375" style="46"/>
  </cols>
  <sheetData>
    <row r="1" spans="1:11" x14ac:dyDescent="0.25">
      <c r="A1" s="46" t="s">
        <v>0</v>
      </c>
    </row>
    <row r="2" spans="1:11" x14ac:dyDescent="0.25">
      <c r="A2" s="46" t="s">
        <v>180</v>
      </c>
    </row>
    <row r="3" spans="1:11" x14ac:dyDescent="0.25">
      <c r="A3" s="46" t="s">
        <v>166</v>
      </c>
    </row>
    <row r="4" spans="1:11" x14ac:dyDescent="0.25">
      <c r="A4" s="55"/>
      <c r="B4" s="55"/>
    </row>
    <row r="5" spans="1:11" x14ac:dyDescent="0.25">
      <c r="A5" s="55"/>
      <c r="B5" s="55"/>
      <c r="C5" s="55"/>
      <c r="D5" s="55"/>
      <c r="E5" s="55"/>
      <c r="F5" s="47"/>
    </row>
    <row r="6" spans="1:11" x14ac:dyDescent="0.25">
      <c r="A6" s="47"/>
      <c r="B6" s="48" t="s">
        <v>65</v>
      </c>
      <c r="C6" s="48" t="s">
        <v>65</v>
      </c>
      <c r="D6" s="48" t="s">
        <v>65</v>
      </c>
      <c r="E6" s="48" t="s">
        <v>65</v>
      </c>
      <c r="F6" s="48" t="s">
        <v>65</v>
      </c>
      <c r="G6" s="48" t="s">
        <v>65</v>
      </c>
      <c r="H6" s="48" t="s">
        <v>65</v>
      </c>
      <c r="I6" s="48" t="s">
        <v>65</v>
      </c>
      <c r="J6" s="48" t="s">
        <v>65</v>
      </c>
      <c r="K6" s="48" t="s">
        <v>65</v>
      </c>
    </row>
    <row r="7" spans="1:11" x14ac:dyDescent="0.25">
      <c r="A7" s="55" t="s">
        <v>1</v>
      </c>
      <c r="B7" s="49" t="s">
        <v>33</v>
      </c>
      <c r="C7" s="50" t="s">
        <v>36</v>
      </c>
      <c r="D7" s="50" t="s">
        <v>37</v>
      </c>
      <c r="E7" s="50" t="s">
        <v>38</v>
      </c>
      <c r="F7" s="49" t="s">
        <v>33</v>
      </c>
      <c r="G7" s="50" t="s">
        <v>36</v>
      </c>
      <c r="H7" s="50" t="s">
        <v>37</v>
      </c>
      <c r="I7" s="50" t="s">
        <v>38</v>
      </c>
      <c r="J7" s="49" t="s">
        <v>33</v>
      </c>
      <c r="K7" s="50" t="s">
        <v>36</v>
      </c>
    </row>
    <row r="8" spans="1:11" x14ac:dyDescent="0.25">
      <c r="A8" s="55" t="s">
        <v>1</v>
      </c>
      <c r="B8" s="51" t="s">
        <v>112</v>
      </c>
      <c r="C8" s="51" t="s">
        <v>34</v>
      </c>
      <c r="D8" s="51" t="s">
        <v>34</v>
      </c>
      <c r="E8" s="51" t="s">
        <v>34</v>
      </c>
      <c r="F8" s="51" t="s">
        <v>34</v>
      </c>
      <c r="G8" s="51" t="s">
        <v>39</v>
      </c>
      <c r="H8" s="51" t="s">
        <v>39</v>
      </c>
      <c r="I8" s="51" t="s">
        <v>39</v>
      </c>
      <c r="J8" s="51" t="s">
        <v>39</v>
      </c>
      <c r="K8" s="51" t="s">
        <v>50</v>
      </c>
    </row>
    <row r="9" spans="1:11" x14ac:dyDescent="0.25">
      <c r="A9" s="55"/>
      <c r="B9" s="55"/>
      <c r="C9" s="55"/>
      <c r="D9" s="55"/>
      <c r="E9" s="55"/>
      <c r="F9" s="47"/>
      <c r="J9" s="47"/>
      <c r="K9" s="47"/>
    </row>
    <row r="10" spans="1:11" x14ac:dyDescent="0.25">
      <c r="A10" s="55" t="s">
        <v>86</v>
      </c>
      <c r="B10" s="52">
        <f>+'BS by Qtr'!B12</f>
        <v>3815</v>
      </c>
      <c r="C10" s="52">
        <f>+'BS by Qtr'!C12</f>
        <v>6779</v>
      </c>
      <c r="D10" s="52">
        <f>+'BS by Qtr'!D12</f>
        <v>7634</v>
      </c>
      <c r="E10" s="52">
        <f>+'BS by Qtr'!E12</f>
        <v>10598</v>
      </c>
      <c r="F10" s="52">
        <f>+'BS by Qtr'!F12</f>
        <v>8529</v>
      </c>
      <c r="G10" s="52">
        <f>+'BS by Qtr'!G12</f>
        <v>4824</v>
      </c>
      <c r="H10" s="52">
        <f>+'BS by Qtr'!H12</f>
        <v>13769</v>
      </c>
      <c r="I10" s="52">
        <f>+'BS by Qtr'!I12</f>
        <v>13944</v>
      </c>
      <c r="J10" s="52">
        <f>+'BS by Qtr'!J12</f>
        <v>13694</v>
      </c>
      <c r="K10" s="52">
        <f>+'BS by Qtr'!K12</f>
        <v>14182</v>
      </c>
    </row>
    <row r="11" spans="1:11" x14ac:dyDescent="0.25">
      <c r="A11" s="55" t="s">
        <v>169</v>
      </c>
      <c r="B11" s="53">
        <f>+'BS by Qtr'!B13+'BS by Qtr'!B15</f>
        <v>1848</v>
      </c>
      <c r="C11" s="53">
        <f>+'BS by Qtr'!C13+'BS by Qtr'!C15</f>
        <v>1637</v>
      </c>
      <c r="D11" s="53">
        <f>+'BS by Qtr'!D13+'BS by Qtr'!D15</f>
        <v>1727</v>
      </c>
      <c r="E11" s="53">
        <f>+'BS by Qtr'!E13+'BS by Qtr'!E15</f>
        <v>1670</v>
      </c>
      <c r="F11" s="53">
        <f>+'BS by Qtr'!F13+'BS by Qtr'!F15</f>
        <v>2312</v>
      </c>
      <c r="G11" s="53">
        <f>+'BS by Qtr'!G13+'BS by Qtr'!G15</f>
        <v>2181</v>
      </c>
      <c r="H11" s="53">
        <f>+'BS by Qtr'!H13+'BS by Qtr'!H15</f>
        <v>2061</v>
      </c>
      <c r="I11" s="53">
        <f>+'BS by Qtr'!I13+'BS by Qtr'!I15</f>
        <v>1981</v>
      </c>
      <c r="J11" s="53">
        <f>+'BS by Qtr'!J13+'BS by Qtr'!J15</f>
        <v>2583</v>
      </c>
      <c r="K11" s="53">
        <f>+'BS by Qtr'!K13+'BS by Qtr'!K15</f>
        <v>2298</v>
      </c>
    </row>
    <row r="12" spans="1:11" x14ac:dyDescent="0.25">
      <c r="A12" s="55" t="s">
        <v>168</v>
      </c>
      <c r="B12" s="72">
        <f>SUM('BS by Qtr'!B13:B17)-B11</f>
        <v>7251</v>
      </c>
      <c r="C12" s="72">
        <f>SUM('BS by Qtr'!C13:C17)-C11</f>
        <v>4382</v>
      </c>
      <c r="D12" s="72">
        <f>SUM('BS by Qtr'!D13:D17)-D11</f>
        <v>5741</v>
      </c>
      <c r="E12" s="72">
        <f>SUM('BS by Qtr'!E13:E17)-E11</f>
        <v>4918</v>
      </c>
      <c r="F12" s="72">
        <f>SUM('BS by Qtr'!F13:F17)-F11</f>
        <v>6382</v>
      </c>
      <c r="G12" s="72">
        <f>SUM('BS by Qtr'!G13:G17)-G11</f>
        <v>7682</v>
      </c>
      <c r="H12" s="72">
        <f>SUM('BS by Qtr'!H13:H17)-H11</f>
        <v>9306</v>
      </c>
      <c r="I12" s="72">
        <f>SUM('BS by Qtr'!I13:I17)-I11</f>
        <v>11982</v>
      </c>
      <c r="J12" s="72">
        <f>SUM('BS by Qtr'!J13:J17)-J11</f>
        <v>11412</v>
      </c>
      <c r="K12" s="72">
        <f>SUM('BS by Qtr'!K13:K17)-K11</f>
        <v>11909</v>
      </c>
    </row>
    <row r="13" spans="1:11" x14ac:dyDescent="0.25">
      <c r="A13" s="55" t="s">
        <v>92</v>
      </c>
      <c r="B13" s="58">
        <f>SUM(B10:B12)</f>
        <v>12914</v>
      </c>
      <c r="C13" s="58">
        <f t="shared" ref="C13:J13" si="0">SUM(C10:C12)</f>
        <v>12798</v>
      </c>
      <c r="D13" s="58">
        <f t="shared" si="0"/>
        <v>15102</v>
      </c>
      <c r="E13" s="58">
        <f t="shared" si="0"/>
        <v>17186</v>
      </c>
      <c r="F13" s="58">
        <f t="shared" si="0"/>
        <v>17223</v>
      </c>
      <c r="G13" s="58">
        <f t="shared" si="0"/>
        <v>14687</v>
      </c>
      <c r="H13" s="58">
        <f t="shared" si="0"/>
        <v>25136</v>
      </c>
      <c r="I13" s="58">
        <f t="shared" si="0"/>
        <v>27907</v>
      </c>
      <c r="J13" s="58">
        <f t="shared" si="0"/>
        <v>27689</v>
      </c>
      <c r="K13" s="58">
        <f t="shared" ref="K13" si="1">SUM(K10:K12)</f>
        <v>28389</v>
      </c>
    </row>
    <row r="14" spans="1:11" x14ac:dyDescent="0.25">
      <c r="A14" s="55"/>
      <c r="B14" s="58"/>
      <c r="C14" s="58"/>
      <c r="D14" s="58"/>
      <c r="E14" s="58"/>
      <c r="F14" s="58"/>
      <c r="G14" s="58"/>
      <c r="H14" s="58"/>
      <c r="I14" s="58"/>
      <c r="J14" s="58"/>
      <c r="K14" s="58"/>
    </row>
    <row r="15" spans="1:11" x14ac:dyDescent="0.25">
      <c r="A15" s="55" t="s">
        <v>93</v>
      </c>
      <c r="B15" s="53">
        <f>+'BS by Qtr'!B19</f>
        <v>118807</v>
      </c>
      <c r="C15" s="53">
        <f>+'BS by Qtr'!C19</f>
        <v>122199</v>
      </c>
      <c r="D15" s="53">
        <f>+'BS by Qtr'!D19</f>
        <v>125003</v>
      </c>
      <c r="E15" s="53">
        <f>+'BS by Qtr'!E19</f>
        <v>130236</v>
      </c>
      <c r="F15" s="53">
        <f>+'BS by Qtr'!F19</f>
        <v>136493</v>
      </c>
      <c r="G15" s="53">
        <f>+'BS by Qtr'!G19</f>
        <v>144054</v>
      </c>
      <c r="H15" s="53">
        <f>+'BS by Qtr'!H19</f>
        <v>152472</v>
      </c>
      <c r="I15" s="53">
        <f>+'BS by Qtr'!I19</f>
        <v>159036</v>
      </c>
      <c r="J15" s="53">
        <f>+'BS by Qtr'!J19</f>
        <v>165150</v>
      </c>
      <c r="K15" s="53">
        <f>+'BS by Qtr'!K19</f>
        <v>170929</v>
      </c>
    </row>
    <row r="16" spans="1:11" x14ac:dyDescent="0.25">
      <c r="A16" s="55"/>
      <c r="B16" s="53"/>
      <c r="C16" s="53"/>
      <c r="D16" s="53"/>
      <c r="E16" s="53"/>
      <c r="F16" s="53"/>
      <c r="G16" s="53"/>
      <c r="H16" s="53"/>
      <c r="I16" s="53"/>
      <c r="J16" s="53"/>
      <c r="K16" s="53"/>
    </row>
    <row r="17" spans="1:11" x14ac:dyDescent="0.25">
      <c r="A17" s="55" t="s">
        <v>170</v>
      </c>
      <c r="B17" s="72">
        <f>SUM('BS by Qtr'!B20:B22)</f>
        <v>47491</v>
      </c>
      <c r="C17" s="72">
        <f>SUM('BS by Qtr'!C20:C22)</f>
        <v>47439</v>
      </c>
      <c r="D17" s="72">
        <f>SUM('BS by Qtr'!D20:D22)</f>
        <v>47484</v>
      </c>
      <c r="E17" s="72">
        <f>SUM('BS by Qtr'!E20:E22)</f>
        <v>47638</v>
      </c>
      <c r="F17" s="72">
        <f>SUM('BS by Qtr'!F20:F22)</f>
        <v>47732</v>
      </c>
      <c r="G17" s="72">
        <f>SUM('BS by Qtr'!G20:G22)</f>
        <v>47780</v>
      </c>
      <c r="H17" s="72">
        <f>SUM('BS by Qtr'!H20:H22)</f>
        <v>47810</v>
      </c>
      <c r="I17" s="72">
        <f>SUM('BS by Qtr'!I20:I22)</f>
        <v>47813</v>
      </c>
      <c r="J17" s="72">
        <f>SUM('BS by Qtr'!J20:J22)</f>
        <v>47889</v>
      </c>
      <c r="K17" s="72">
        <f>SUM('BS by Qtr'!K20:K22)</f>
        <v>47978</v>
      </c>
    </row>
    <row r="18" spans="1:11" x14ac:dyDescent="0.25">
      <c r="A18" s="55"/>
      <c r="B18" s="77"/>
      <c r="C18" s="77"/>
      <c r="D18" s="77"/>
      <c r="E18" s="77"/>
      <c r="F18" s="77"/>
      <c r="G18" s="77"/>
      <c r="H18" s="77"/>
      <c r="I18" s="77"/>
      <c r="J18" s="77"/>
      <c r="K18" s="77"/>
    </row>
    <row r="19" spans="1:11" ht="15.75" thickBot="1" x14ac:dyDescent="0.3">
      <c r="A19" s="55" t="s">
        <v>97</v>
      </c>
      <c r="B19" s="96">
        <f>SUM(B13:B17)</f>
        <v>179212</v>
      </c>
      <c r="C19" s="96">
        <f t="shared" ref="C19:J19" si="2">SUM(C13:C17)</f>
        <v>182436</v>
      </c>
      <c r="D19" s="96">
        <f t="shared" si="2"/>
        <v>187589</v>
      </c>
      <c r="E19" s="96">
        <f t="shared" si="2"/>
        <v>195060</v>
      </c>
      <c r="F19" s="96">
        <f t="shared" si="2"/>
        <v>201448</v>
      </c>
      <c r="G19" s="96">
        <f t="shared" si="2"/>
        <v>206521</v>
      </c>
      <c r="H19" s="96">
        <f t="shared" si="2"/>
        <v>225418</v>
      </c>
      <c r="I19" s="96">
        <f t="shared" si="2"/>
        <v>234756</v>
      </c>
      <c r="J19" s="96">
        <f t="shared" si="2"/>
        <v>240728</v>
      </c>
      <c r="K19" s="96">
        <f t="shared" ref="K19" si="3">SUM(K13:K17)</f>
        <v>247296</v>
      </c>
    </row>
    <row r="20" spans="1:11" ht="15.75" thickTop="1" x14ac:dyDescent="0.25">
      <c r="A20" s="55"/>
    </row>
    <row r="21" spans="1:11" x14ac:dyDescent="0.25">
      <c r="A21" s="55"/>
    </row>
    <row r="22" spans="1:11" x14ac:dyDescent="0.25">
      <c r="A22" s="55" t="s">
        <v>153</v>
      </c>
      <c r="B22" s="52">
        <f>SUM('BS by Qtr'!B26:B29)</f>
        <v>17968</v>
      </c>
      <c r="C22" s="52">
        <f>SUM('BS by Qtr'!C26:C29)</f>
        <v>16544</v>
      </c>
      <c r="D22" s="52">
        <f>SUM('BS by Qtr'!D26:D29)</f>
        <v>21780</v>
      </c>
      <c r="E22" s="52">
        <f>SUM('BS by Qtr'!E26:E29)</f>
        <v>21795</v>
      </c>
      <c r="F22" s="52">
        <f>SUM('BS by Qtr'!F26:F29)</f>
        <v>25008</v>
      </c>
      <c r="G22" s="52">
        <f>SUM('BS by Qtr'!G26:G29)</f>
        <v>21284</v>
      </c>
      <c r="H22" s="52">
        <f>SUM('BS by Qtr'!H26:H29)</f>
        <v>29949</v>
      </c>
      <c r="I22" s="52">
        <f>SUM('BS by Qtr'!I26:I29)</f>
        <v>26396</v>
      </c>
      <c r="J22" s="52">
        <f>SUM('BS by Qtr'!J26:J29)</f>
        <v>28106</v>
      </c>
      <c r="K22" s="52">
        <f>SUM('BS by Qtr'!K26:K29)</f>
        <v>27055</v>
      </c>
    </row>
    <row r="23" spans="1:11" x14ac:dyDescent="0.25">
      <c r="A23" s="55"/>
      <c r="B23" s="58"/>
      <c r="C23" s="58"/>
      <c r="D23" s="58"/>
      <c r="E23" s="58"/>
      <c r="F23" s="58"/>
      <c r="G23" s="58"/>
      <c r="H23" s="58"/>
      <c r="I23" s="58"/>
      <c r="J23" s="58"/>
      <c r="K23" s="58"/>
    </row>
    <row r="24" spans="1:11" x14ac:dyDescent="0.25">
      <c r="A24" s="55" t="s">
        <v>171</v>
      </c>
      <c r="B24" s="53">
        <f>SUM('BS by Qtr'!B31:B33)</f>
        <v>34306</v>
      </c>
      <c r="C24" s="53">
        <f>SUM('BS by Qtr'!C31:C33)</f>
        <v>35684</v>
      </c>
      <c r="D24" s="53">
        <f>SUM('BS by Qtr'!D31:D33)</f>
        <v>38201</v>
      </c>
      <c r="E24" s="53">
        <f>SUM('BS by Qtr'!E31:E33)</f>
        <v>41060</v>
      </c>
      <c r="F24" s="53">
        <f>SUM('BS by Qtr'!F31:F33)</f>
        <v>43383</v>
      </c>
      <c r="G24" s="53">
        <f>SUM('BS by Qtr'!G31:G33)</f>
        <v>47196</v>
      </c>
      <c r="H24" s="53">
        <f>SUM('BS by Qtr'!H31:H33)</f>
        <v>47663</v>
      </c>
      <c r="I24" s="53">
        <f>SUM('BS by Qtr'!I31:I33)</f>
        <v>54490</v>
      </c>
      <c r="J24" s="53">
        <f>SUM('BS by Qtr'!J31:J33)</f>
        <v>55557</v>
      </c>
      <c r="K24" s="53">
        <f>SUM('BS by Qtr'!K31:K33)</f>
        <v>58373</v>
      </c>
    </row>
    <row r="25" spans="1:11" x14ac:dyDescent="0.25">
      <c r="A25" s="55" t="s">
        <v>155</v>
      </c>
      <c r="B25" s="72">
        <f>+'BS by Qtr'!B34</f>
        <v>8750</v>
      </c>
      <c r="C25" s="72">
        <f>+'BS by Qtr'!C34</f>
        <v>8500</v>
      </c>
      <c r="D25" s="72">
        <f>+'BS by Qtr'!D34</f>
        <v>0</v>
      </c>
      <c r="E25" s="72">
        <f>+'BS by Qtr'!E34</f>
        <v>0</v>
      </c>
      <c r="F25" s="72">
        <f>+'BS by Qtr'!F34</f>
        <v>0</v>
      </c>
      <c r="G25" s="72">
        <f>+'BS by Qtr'!G34</f>
        <v>0</v>
      </c>
      <c r="H25" s="72">
        <f>+'BS by Qtr'!H34</f>
        <v>0</v>
      </c>
      <c r="I25" s="72">
        <f>+'BS by Qtr'!I34</f>
        <v>0</v>
      </c>
      <c r="J25" s="72">
        <f>+'BS by Qtr'!J34</f>
        <v>0</v>
      </c>
      <c r="K25" s="72">
        <f>+'BS by Qtr'!K34</f>
        <v>0</v>
      </c>
    </row>
    <row r="26" spans="1:11" x14ac:dyDescent="0.25">
      <c r="A26" s="55" t="s">
        <v>107</v>
      </c>
      <c r="B26" s="58">
        <f>SUM(B22:B25)</f>
        <v>61024</v>
      </c>
      <c r="C26" s="58">
        <f t="shared" ref="C26:J26" si="4">SUM(C22:C25)</f>
        <v>60728</v>
      </c>
      <c r="D26" s="58">
        <f t="shared" si="4"/>
        <v>59981</v>
      </c>
      <c r="E26" s="58">
        <f t="shared" si="4"/>
        <v>62855</v>
      </c>
      <c r="F26" s="58">
        <f t="shared" si="4"/>
        <v>68391</v>
      </c>
      <c r="G26" s="58">
        <f t="shared" si="4"/>
        <v>68480</v>
      </c>
      <c r="H26" s="58">
        <f t="shared" si="4"/>
        <v>77612</v>
      </c>
      <c r="I26" s="58">
        <f t="shared" si="4"/>
        <v>80886</v>
      </c>
      <c r="J26" s="58">
        <f t="shared" si="4"/>
        <v>83663</v>
      </c>
      <c r="K26" s="58">
        <f t="shared" ref="K26" si="5">SUM(K22:K25)</f>
        <v>85428</v>
      </c>
    </row>
    <row r="27" spans="1:11" x14ac:dyDescent="0.25">
      <c r="A27" s="47"/>
    </row>
    <row r="28" spans="1:11" x14ac:dyDescent="0.25">
      <c r="A28" s="55" t="s">
        <v>172</v>
      </c>
      <c r="B28" s="72">
        <f>+'BS by Qtr'!B42</f>
        <v>118188</v>
      </c>
      <c r="C28" s="72">
        <f>+'BS by Qtr'!C42</f>
        <v>121708</v>
      </c>
      <c r="D28" s="72">
        <f>+'BS by Qtr'!D42</f>
        <v>127608</v>
      </c>
      <c r="E28" s="72">
        <f>+'BS by Qtr'!E42</f>
        <v>132205</v>
      </c>
      <c r="F28" s="72">
        <f>+'BS by Qtr'!F42</f>
        <v>133057</v>
      </c>
      <c r="G28" s="72">
        <f>+'BS by Qtr'!G42</f>
        <v>138041</v>
      </c>
      <c r="H28" s="72">
        <f>+'BS by Qtr'!H42</f>
        <v>147806</v>
      </c>
      <c r="I28" s="72">
        <f>+'BS by Qtr'!I42</f>
        <v>153870</v>
      </c>
      <c r="J28" s="72">
        <f>+'BS by Qtr'!J42</f>
        <v>157065</v>
      </c>
      <c r="K28" s="72">
        <f>+'BS by Qtr'!K42</f>
        <v>161868</v>
      </c>
    </row>
    <row r="29" spans="1:11" x14ac:dyDescent="0.25">
      <c r="A29" s="55"/>
      <c r="B29" s="77"/>
      <c r="C29" s="77"/>
      <c r="D29" s="77"/>
      <c r="E29" s="77"/>
      <c r="F29" s="77"/>
      <c r="G29" s="77"/>
      <c r="H29" s="77"/>
      <c r="I29" s="77"/>
      <c r="J29" s="77"/>
      <c r="K29" s="77"/>
    </row>
    <row r="30" spans="1:11" ht="15.75" thickBot="1" x14ac:dyDescent="0.3">
      <c r="A30" s="55" t="s">
        <v>111</v>
      </c>
      <c r="B30" s="96">
        <f>+B26+B28</f>
        <v>179212</v>
      </c>
      <c r="C30" s="96">
        <f t="shared" ref="C30:J30" si="6">+C26+C28</f>
        <v>182436</v>
      </c>
      <c r="D30" s="96">
        <f t="shared" si="6"/>
        <v>187589</v>
      </c>
      <c r="E30" s="96">
        <f t="shared" si="6"/>
        <v>195060</v>
      </c>
      <c r="F30" s="96">
        <f t="shared" si="6"/>
        <v>201448</v>
      </c>
      <c r="G30" s="96">
        <f t="shared" si="6"/>
        <v>206521</v>
      </c>
      <c r="H30" s="96">
        <f t="shared" si="6"/>
        <v>225418</v>
      </c>
      <c r="I30" s="96">
        <f t="shared" si="6"/>
        <v>234756</v>
      </c>
      <c r="J30" s="96">
        <f t="shared" si="6"/>
        <v>240728</v>
      </c>
      <c r="K30" s="96">
        <f t="shared" ref="K30" si="7">+K26+K28</f>
        <v>247296</v>
      </c>
    </row>
    <row r="31" spans="1:11" ht="15.75" thickTop="1" x14ac:dyDescent="0.25"/>
    <row r="33" spans="1:11" x14ac:dyDescent="0.25">
      <c r="B33" s="52">
        <f t="shared" ref="B33:J33" si="8">+B19-B30</f>
        <v>0</v>
      </c>
      <c r="C33" s="52">
        <f t="shared" si="8"/>
        <v>0</v>
      </c>
      <c r="D33" s="52">
        <f t="shared" si="8"/>
        <v>0</v>
      </c>
      <c r="E33" s="52">
        <f t="shared" si="8"/>
        <v>0</v>
      </c>
      <c r="F33" s="52">
        <f t="shared" si="8"/>
        <v>0</v>
      </c>
      <c r="G33" s="52">
        <f t="shared" si="8"/>
        <v>0</v>
      </c>
      <c r="H33" s="52">
        <f t="shared" si="8"/>
        <v>0</v>
      </c>
      <c r="I33" s="52">
        <f t="shared" si="8"/>
        <v>0</v>
      </c>
      <c r="J33" s="52">
        <f t="shared" si="8"/>
        <v>0</v>
      </c>
      <c r="K33" s="52">
        <f t="shared" ref="K33" si="9">+K19-K30</f>
        <v>0</v>
      </c>
    </row>
    <row r="34" spans="1:11" x14ac:dyDescent="0.25">
      <c r="B34" s="52">
        <f>+'BS by Qtr'!B43</f>
        <v>179212</v>
      </c>
      <c r="C34" s="52">
        <f>+'BS by Qtr'!C43</f>
        <v>182436</v>
      </c>
      <c r="D34" s="52">
        <f>+'BS by Qtr'!D43</f>
        <v>187589</v>
      </c>
      <c r="E34" s="52">
        <f>+'BS by Qtr'!E43</f>
        <v>195060</v>
      </c>
      <c r="F34" s="52">
        <f>+'BS by Qtr'!F43</f>
        <v>201448</v>
      </c>
      <c r="G34" s="52">
        <f>+'BS by Qtr'!G43</f>
        <v>206521</v>
      </c>
      <c r="H34" s="52">
        <f>+'BS by Qtr'!H43</f>
        <v>225418</v>
      </c>
      <c r="I34" s="52">
        <f>+'BS by Qtr'!I43</f>
        <v>234756</v>
      </c>
      <c r="J34" s="52">
        <f>+'BS by Qtr'!J43</f>
        <v>240728</v>
      </c>
      <c r="K34" s="52">
        <f>+'BS by Qtr'!K43</f>
        <v>247296</v>
      </c>
    </row>
    <row r="38" spans="1:11" x14ac:dyDescent="0.25">
      <c r="A38" s="46" t="s">
        <v>150</v>
      </c>
      <c r="C38" s="53">
        <f>+B15</f>
        <v>118807</v>
      </c>
    </row>
    <row r="39" spans="1:11" x14ac:dyDescent="0.25">
      <c r="A39" s="46" t="s">
        <v>149</v>
      </c>
      <c r="C39" s="53">
        <f>-'CF by Qtr'!B15</f>
        <v>-2998</v>
      </c>
    </row>
    <row r="41" spans="1:11" x14ac:dyDescent="0.25">
      <c r="A41" s="46" t="s">
        <v>151</v>
      </c>
      <c r="C41" s="53">
        <f>+C15</f>
        <v>122199</v>
      </c>
    </row>
    <row r="43" spans="1:11" x14ac:dyDescent="0.25">
      <c r="C43" s="53">
        <f>+C38+C39-C41</f>
        <v>-6390</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topLeftCell="A19" workbookViewId="0">
      <selection activeCell="J17" sqref="J17"/>
    </sheetView>
  </sheetViews>
  <sheetFormatPr defaultColWidth="8.7109375" defaultRowHeight="15" x14ac:dyDescent="0.25"/>
  <cols>
    <col min="1" max="1" width="53.85546875" style="46" customWidth="1"/>
    <col min="2" max="2" width="14.140625" style="46" customWidth="1"/>
    <col min="3" max="3" width="12.42578125" style="46" customWidth="1"/>
    <col min="4" max="4" width="12.5703125" style="46" customWidth="1"/>
    <col min="5" max="5" width="11.5703125" style="46" customWidth="1"/>
    <col min="6" max="6" width="9.5703125" style="46" customWidth="1"/>
    <col min="7" max="7" width="11" style="46" customWidth="1"/>
    <col min="8" max="9" width="10.5703125" style="46" customWidth="1"/>
    <col min="10" max="13" width="11.85546875" style="46" customWidth="1"/>
    <col min="14" max="14" width="10.28515625" style="46" customWidth="1"/>
    <col min="15" max="17" width="12.85546875" style="46" customWidth="1"/>
    <col min="18" max="18" width="43.140625" style="46" customWidth="1"/>
    <col min="19" max="19" width="9.7109375" style="46" customWidth="1"/>
    <col min="20" max="20" width="49" style="46" customWidth="1"/>
    <col min="21" max="16384" width="8.7109375" style="46"/>
  </cols>
  <sheetData>
    <row r="1" spans="1:14" x14ac:dyDescent="0.25">
      <c r="A1" s="46" t="s">
        <v>0</v>
      </c>
    </row>
    <row r="2" spans="1:14" x14ac:dyDescent="0.25">
      <c r="A2" s="46" t="s">
        <v>181</v>
      </c>
    </row>
    <row r="3" spans="1:14" x14ac:dyDescent="0.25">
      <c r="A3" s="46" t="s">
        <v>166</v>
      </c>
    </row>
    <row r="4" spans="1:14" x14ac:dyDescent="0.25">
      <c r="A4" s="55"/>
    </row>
    <row r="5" spans="1:14" x14ac:dyDescent="0.25">
      <c r="A5" s="55"/>
      <c r="B5" s="55"/>
      <c r="C5" s="55"/>
      <c r="D5" s="55"/>
      <c r="E5" s="47"/>
    </row>
    <row r="6" spans="1:14" x14ac:dyDescent="0.25">
      <c r="A6" s="47"/>
      <c r="B6" s="48" t="s">
        <v>65</v>
      </c>
      <c r="C6" s="48" t="s">
        <v>65</v>
      </c>
      <c r="D6" s="48" t="s">
        <v>65</v>
      </c>
      <c r="E6" s="48" t="s">
        <v>65</v>
      </c>
      <c r="F6" s="48" t="s">
        <v>65</v>
      </c>
      <c r="G6" s="48" t="s">
        <v>65</v>
      </c>
      <c r="H6" s="48" t="s">
        <v>65</v>
      </c>
      <c r="I6" s="48" t="s">
        <v>65</v>
      </c>
      <c r="J6" s="48" t="s">
        <v>65</v>
      </c>
      <c r="K6" s="48"/>
      <c r="M6" s="48" t="s">
        <v>65</v>
      </c>
      <c r="N6" s="48" t="s">
        <v>65</v>
      </c>
    </row>
    <row r="7" spans="1:14" x14ac:dyDescent="0.25">
      <c r="A7" s="55" t="s">
        <v>1</v>
      </c>
      <c r="B7" s="50" t="s">
        <v>36</v>
      </c>
      <c r="C7" s="50" t="s">
        <v>37</v>
      </c>
      <c r="D7" s="50" t="s">
        <v>38</v>
      </c>
      <c r="E7" s="49" t="s">
        <v>33</v>
      </c>
      <c r="F7" s="50" t="s">
        <v>36</v>
      </c>
      <c r="G7" s="50" t="s">
        <v>37</v>
      </c>
      <c r="H7" s="50" t="s">
        <v>38</v>
      </c>
      <c r="I7" s="49" t="s">
        <v>33</v>
      </c>
      <c r="J7" s="50" t="s">
        <v>36</v>
      </c>
      <c r="K7" s="50"/>
      <c r="M7" s="49" t="s">
        <v>161</v>
      </c>
      <c r="N7" s="49" t="s">
        <v>161</v>
      </c>
    </row>
    <row r="8" spans="1:14" x14ac:dyDescent="0.25">
      <c r="A8" s="55" t="s">
        <v>1</v>
      </c>
      <c r="B8" s="51" t="s">
        <v>34</v>
      </c>
      <c r="C8" s="51" t="s">
        <v>34</v>
      </c>
      <c r="D8" s="51" t="s">
        <v>34</v>
      </c>
      <c r="E8" s="51" t="s">
        <v>34</v>
      </c>
      <c r="F8" s="51" t="s">
        <v>39</v>
      </c>
      <c r="G8" s="51" t="s">
        <v>39</v>
      </c>
      <c r="H8" s="51" t="s">
        <v>39</v>
      </c>
      <c r="I8" s="51" t="s">
        <v>39</v>
      </c>
      <c r="J8" s="51" t="s">
        <v>50</v>
      </c>
      <c r="K8" s="81"/>
      <c r="M8" s="51" t="s">
        <v>34</v>
      </c>
      <c r="N8" s="51" t="s">
        <v>39</v>
      </c>
    </row>
    <row r="9" spans="1:14" x14ac:dyDescent="0.25">
      <c r="A9" s="55" t="s">
        <v>1</v>
      </c>
      <c r="B9" s="55"/>
      <c r="C9" s="55"/>
      <c r="D9" s="55"/>
      <c r="E9" s="47"/>
      <c r="I9" s="47"/>
      <c r="J9" s="47"/>
      <c r="K9" s="47"/>
    </row>
    <row r="10" spans="1:14" x14ac:dyDescent="0.25">
      <c r="A10" s="55" t="s">
        <v>19</v>
      </c>
      <c r="B10" s="67">
        <f>+'CF by Qtr'!B12</f>
        <v>3235</v>
      </c>
      <c r="C10" s="67">
        <f>+'CF by Qtr'!C12</f>
        <v>5373</v>
      </c>
      <c r="D10" s="67">
        <f>+'CF by Qtr'!D12</f>
        <v>4069</v>
      </c>
      <c r="E10" s="67">
        <f>+'CF by Qtr'!E12</f>
        <v>219</v>
      </c>
      <c r="F10" s="67">
        <f>+'CF by Qtr'!F12</f>
        <v>4532</v>
      </c>
      <c r="G10" s="67">
        <f>+'CF by Qtr'!G12</f>
        <v>5780</v>
      </c>
      <c r="H10" s="67">
        <f>+'CF by Qtr'!H12</f>
        <v>4599</v>
      </c>
      <c r="I10" s="67">
        <f>+'CF by Qtr'!I12</f>
        <v>2333</v>
      </c>
      <c r="J10" s="67">
        <f>+'CF by Qtr'!J12</f>
        <v>4550</v>
      </c>
      <c r="K10" s="67"/>
      <c r="M10" s="65">
        <f>SUM(B10:E10)</f>
        <v>12896</v>
      </c>
      <c r="N10" s="65">
        <f>SUM(F10:I10)</f>
        <v>17244</v>
      </c>
    </row>
    <row r="11" spans="1:14" x14ac:dyDescent="0.25">
      <c r="A11" s="55" t="s">
        <v>13</v>
      </c>
      <c r="B11" s="58">
        <f>+'CF by Qtr'!B15</f>
        <v>2998</v>
      </c>
      <c r="C11" s="58">
        <f>+'CF by Qtr'!C15</f>
        <v>3194</v>
      </c>
      <c r="D11" s="58">
        <f>+'CF by Qtr'!D15</f>
        <v>3230</v>
      </c>
      <c r="E11" s="58">
        <f>+'CF by Qtr'!E15</f>
        <v>3405</v>
      </c>
      <c r="F11" s="58">
        <f>+'CF by Qtr'!F15</f>
        <v>3477</v>
      </c>
      <c r="G11" s="58">
        <f>+'CF by Qtr'!G15</f>
        <v>3707</v>
      </c>
      <c r="H11" s="58">
        <f>+'CF by Qtr'!H15</f>
        <v>3821</v>
      </c>
      <c r="I11" s="58">
        <f>+'CF by Qtr'!I15</f>
        <v>4076</v>
      </c>
      <c r="J11" s="58">
        <f>+'CF by Qtr'!J15</f>
        <v>4161</v>
      </c>
      <c r="K11" s="58"/>
      <c r="M11" s="53">
        <f>SUM(B11:E11)</f>
        <v>12827</v>
      </c>
      <c r="N11" s="53">
        <f t="shared" ref="N11:N17" si="0">SUM(F11:I11)</f>
        <v>15081</v>
      </c>
    </row>
    <row r="12" spans="1:14" x14ac:dyDescent="0.25">
      <c r="A12" s="46" t="s">
        <v>30</v>
      </c>
      <c r="B12" s="58">
        <f>+'CF by Qtr'!B17</f>
        <v>0</v>
      </c>
      <c r="C12" s="58">
        <f>+'CF by Qtr'!C17</f>
        <v>0</v>
      </c>
      <c r="D12" s="58">
        <f>+'CF by Qtr'!D17</f>
        <v>0</v>
      </c>
      <c r="E12" s="58">
        <f>+'CF by Qtr'!E17</f>
        <v>4360</v>
      </c>
      <c r="F12" s="58">
        <f>+'CF by Qtr'!F17</f>
        <v>0</v>
      </c>
      <c r="G12" s="58">
        <f>+'CF by Qtr'!G17</f>
        <v>0</v>
      </c>
      <c r="H12" s="58">
        <f>+'CF by Qtr'!H17</f>
        <v>269</v>
      </c>
      <c r="I12" s="58">
        <f>+'CF by Qtr'!I17</f>
        <v>1098</v>
      </c>
      <c r="J12" s="58">
        <f>+'CF by Qtr'!J17</f>
        <v>0</v>
      </c>
      <c r="K12" s="58"/>
      <c r="M12" s="53">
        <f t="shared" ref="M12:M45" si="1">SUM(B12:E12)</f>
        <v>4360</v>
      </c>
      <c r="N12" s="53">
        <f t="shared" si="0"/>
        <v>1367</v>
      </c>
    </row>
    <row r="13" spans="1:14" x14ac:dyDescent="0.25">
      <c r="A13" s="55" t="s">
        <v>169</v>
      </c>
      <c r="B13" s="58">
        <f>+'CF by Qtr'!B25+'CF by Qtr'!B24</f>
        <v>211</v>
      </c>
      <c r="C13" s="58">
        <f>+'CF by Qtr'!C25+'CF by Qtr'!C24</f>
        <v>-90</v>
      </c>
      <c r="D13" s="58">
        <f>+'CF by Qtr'!D25+'CF by Qtr'!D24</f>
        <v>57</v>
      </c>
      <c r="E13" s="58">
        <f>+'CF by Qtr'!E25+'CF by Qtr'!E24</f>
        <v>-642</v>
      </c>
      <c r="F13" s="58">
        <f>+'CF by Qtr'!F25+'CF by Qtr'!F24</f>
        <v>131</v>
      </c>
      <c r="G13" s="58">
        <f>+'CF by Qtr'!G25+'CF by Qtr'!G24</f>
        <v>120</v>
      </c>
      <c r="H13" s="58">
        <f>+'CF by Qtr'!H25+'CF by Qtr'!H24</f>
        <v>72</v>
      </c>
      <c r="I13" s="58">
        <f>+'CF by Qtr'!I25+'CF by Qtr'!I24</f>
        <v>-602</v>
      </c>
      <c r="J13" s="58">
        <f>+'CF by Qtr'!J25+'CF by Qtr'!J24</f>
        <v>285</v>
      </c>
      <c r="K13" s="58"/>
      <c r="M13" s="53">
        <f t="shared" si="1"/>
        <v>-464</v>
      </c>
      <c r="N13" s="53">
        <f t="shared" si="0"/>
        <v>-279</v>
      </c>
    </row>
    <row r="14" spans="1:14" x14ac:dyDescent="0.25">
      <c r="A14" s="55" t="s">
        <v>168</v>
      </c>
      <c r="B14" s="58">
        <f>+'CF by Qtr'!B27</f>
        <v>784</v>
      </c>
      <c r="C14" s="58">
        <f>+'CF by Qtr'!C27</f>
        <v>-1359</v>
      </c>
      <c r="D14" s="58">
        <f>+'CF by Qtr'!D27</f>
        <v>-237</v>
      </c>
      <c r="E14" s="58">
        <f>+'CF by Qtr'!E27</f>
        <v>1260</v>
      </c>
      <c r="F14" s="58">
        <f>+'CF by Qtr'!F27</f>
        <v>-1293</v>
      </c>
      <c r="G14" s="58">
        <f>+'CF by Qtr'!G27</f>
        <v>-941</v>
      </c>
      <c r="H14" s="58">
        <f>+'CF by Qtr'!H27</f>
        <v>44</v>
      </c>
      <c r="I14" s="58">
        <f>+'CF by Qtr'!I27</f>
        <v>-384</v>
      </c>
      <c r="J14" s="58">
        <f>+'CF by Qtr'!J27</f>
        <v>17</v>
      </c>
      <c r="K14" s="58"/>
      <c r="M14" s="53">
        <f t="shared" si="1"/>
        <v>448</v>
      </c>
      <c r="N14" s="53">
        <f t="shared" si="0"/>
        <v>-2574</v>
      </c>
    </row>
    <row r="15" spans="1:14" x14ac:dyDescent="0.25">
      <c r="A15" s="55" t="s">
        <v>153</v>
      </c>
      <c r="B15" s="58">
        <f>+'CF by Qtr'!B28+'CF by Qtr'!B29</f>
        <v>-2152</v>
      </c>
      <c r="C15" s="58">
        <f>+'CF by Qtr'!C28+'CF by Qtr'!C29</f>
        <v>4640</v>
      </c>
      <c r="D15" s="58">
        <f>+'CF by Qtr'!D28+'CF by Qtr'!D29</f>
        <v>-400</v>
      </c>
      <c r="E15" s="58">
        <f>+'CF by Qtr'!E28+'CF by Qtr'!E29</f>
        <v>2371</v>
      </c>
      <c r="F15" s="58">
        <f>+'CF by Qtr'!F28+'CF by Qtr'!F29</f>
        <v>-4779</v>
      </c>
      <c r="G15" s="58">
        <f>+'CF by Qtr'!G28+'CF by Qtr'!G29</f>
        <v>11180</v>
      </c>
      <c r="H15" s="58">
        <f>+'CF by Qtr'!H28+'CF by Qtr'!H29</f>
        <v>-2706</v>
      </c>
      <c r="I15" s="58">
        <f>+'CF by Qtr'!I28+'CF by Qtr'!I29</f>
        <v>809</v>
      </c>
      <c r="J15" s="58">
        <f>+'CF by Qtr'!J28+'CF by Qtr'!J29</f>
        <v>-3242</v>
      </c>
      <c r="K15" s="58"/>
      <c r="M15" s="53">
        <f t="shared" si="1"/>
        <v>4459</v>
      </c>
      <c r="N15" s="53">
        <f t="shared" si="0"/>
        <v>4504</v>
      </c>
    </row>
    <row r="16" spans="1:14" x14ac:dyDescent="0.25">
      <c r="A16" s="55" t="s">
        <v>177</v>
      </c>
      <c r="B16" s="58">
        <f>+'CF by Qtr'!B30</f>
        <v>2085</v>
      </c>
      <c r="C16" s="58">
        <f>+'CF by Qtr'!C30</f>
        <v>1910</v>
      </c>
      <c r="D16" s="58">
        <f>+'CF by Qtr'!D30</f>
        <v>2228</v>
      </c>
      <c r="E16" s="58">
        <f>+'CF by Qtr'!E30</f>
        <v>1419</v>
      </c>
      <c r="F16" s="58">
        <f>+'CF by Qtr'!F30</f>
        <v>1103</v>
      </c>
      <c r="G16" s="58">
        <f>+'CF by Qtr'!G30</f>
        <v>1416</v>
      </c>
      <c r="H16" s="58">
        <f>+'CF by Qtr'!H30</f>
        <v>3113</v>
      </c>
      <c r="I16" s="58">
        <f>+'CF by Qtr'!I30</f>
        <v>2492</v>
      </c>
      <c r="J16" s="58">
        <f>+'CF by Qtr'!J30</f>
        <v>565</v>
      </c>
      <c r="K16" s="58"/>
      <c r="M16" s="53">
        <f t="shared" si="1"/>
        <v>7642</v>
      </c>
      <c r="N16" s="53">
        <f t="shared" si="0"/>
        <v>8124</v>
      </c>
    </row>
    <row r="17" spans="1:14" x14ac:dyDescent="0.25">
      <c r="A17" s="55" t="s">
        <v>178</v>
      </c>
      <c r="B17" s="58">
        <f>+'CF by Qtr'!B32-SUM('Actual - Summary CF by Qtr'!B10:B16)</f>
        <v>1392</v>
      </c>
      <c r="C17" s="58">
        <f>+'CF by Qtr'!C32-SUM('Actual - Summary CF by Qtr'!C10:C16)</f>
        <v>935</v>
      </c>
      <c r="D17" s="58">
        <f>+'CF by Qtr'!D32-SUM('Actual - Summary CF by Qtr'!D10:D16)</f>
        <v>1682</v>
      </c>
      <c r="E17" s="58">
        <f>+'CF by Qtr'!E32-SUM('Actual - Summary CF by Qtr'!E10:E16)</f>
        <v>-784</v>
      </c>
      <c r="F17" s="58">
        <f>+'CF by Qtr'!F32-SUM('Actual - Summary CF by Qtr'!F10:F16)</f>
        <v>1510</v>
      </c>
      <c r="G17" s="58">
        <f>+'CF by Qtr'!G32-SUM('Actual - Summary CF by Qtr'!G10:G16)</f>
        <v>-3836</v>
      </c>
      <c r="H17" s="58">
        <f>+'CF by Qtr'!H32-SUM('Actual - Summary CF by Qtr'!H10:H16)</f>
        <v>1373</v>
      </c>
      <c r="I17" s="58">
        <f>+'CF by Qtr'!I32-SUM('Actual - Summary CF by Qtr'!I10:I16)</f>
        <v>124</v>
      </c>
      <c r="J17" s="58">
        <f>+'CF by Qtr'!J32-SUM('Actual - Summary CF by Qtr'!J10:J16)</f>
        <v>1899</v>
      </c>
      <c r="K17" s="58"/>
      <c r="M17" s="53">
        <f t="shared" si="1"/>
        <v>3225</v>
      </c>
      <c r="N17" s="53">
        <f t="shared" si="0"/>
        <v>-829</v>
      </c>
    </row>
    <row r="18" spans="1:14" x14ac:dyDescent="0.25">
      <c r="A18" s="55"/>
      <c r="B18" s="70"/>
      <c r="C18" s="70"/>
      <c r="D18" s="70"/>
      <c r="E18" s="70"/>
      <c r="F18" s="70"/>
      <c r="G18" s="70"/>
      <c r="H18" s="70"/>
      <c r="I18" s="70"/>
      <c r="J18" s="70"/>
      <c r="K18" s="75"/>
      <c r="M18" s="72"/>
      <c r="N18" s="72"/>
    </row>
    <row r="19" spans="1:14" x14ac:dyDescent="0.25">
      <c r="A19" s="55" t="s">
        <v>126</v>
      </c>
      <c r="B19" s="100">
        <f>SUM(B10:B18)</f>
        <v>8553</v>
      </c>
      <c r="C19" s="100">
        <f t="shared" ref="C19:I19" si="2">SUM(C10:C18)</f>
        <v>14603</v>
      </c>
      <c r="D19" s="100">
        <f t="shared" si="2"/>
        <v>10629</v>
      </c>
      <c r="E19" s="100">
        <f t="shared" si="2"/>
        <v>11608</v>
      </c>
      <c r="F19" s="100">
        <f t="shared" si="2"/>
        <v>4681</v>
      </c>
      <c r="G19" s="100">
        <f t="shared" si="2"/>
        <v>17426</v>
      </c>
      <c r="H19" s="100">
        <f t="shared" si="2"/>
        <v>10585</v>
      </c>
      <c r="I19" s="100">
        <f t="shared" si="2"/>
        <v>9946</v>
      </c>
      <c r="J19" s="100">
        <f t="shared" ref="J19" si="3">SUM(J10:J18)</f>
        <v>8235</v>
      </c>
      <c r="K19" s="119"/>
      <c r="M19" s="100">
        <f>SUM(M10:M18)</f>
        <v>45393</v>
      </c>
      <c r="N19" s="100">
        <f>SUM(N10:N18)</f>
        <v>42638</v>
      </c>
    </row>
    <row r="20" spans="1:14" x14ac:dyDescent="0.25">
      <c r="A20" s="55"/>
      <c r="B20" s="47"/>
      <c r="C20" s="47"/>
      <c r="D20" s="47"/>
      <c r="E20" s="47"/>
      <c r="F20" s="47"/>
      <c r="G20" s="47"/>
      <c r="H20" s="47"/>
      <c r="I20" s="47"/>
      <c r="J20" s="47"/>
      <c r="K20" s="47"/>
      <c r="M20" s="53">
        <f t="shared" si="1"/>
        <v>0</v>
      </c>
      <c r="N20" s="53">
        <f>SUM(F20:I20)</f>
        <v>0</v>
      </c>
    </row>
    <row r="21" spans="1:14" x14ac:dyDescent="0.25">
      <c r="A21" s="55" t="s">
        <v>128</v>
      </c>
      <c r="B21" s="58">
        <f>+'CF by Qtr'!B34</f>
        <v>-5323</v>
      </c>
      <c r="C21" s="58">
        <f>+'CF by Qtr'!C34</f>
        <v>-5240</v>
      </c>
      <c r="D21" s="58">
        <f>+'CF by Qtr'!D34</f>
        <v>-7534</v>
      </c>
      <c r="E21" s="58">
        <f>+'CF by Qtr'!E34</f>
        <v>-13531</v>
      </c>
      <c r="F21" s="58">
        <f>+'CF by Qtr'!F34</f>
        <v>-8255</v>
      </c>
      <c r="G21" s="58">
        <f>+'CF by Qtr'!G34</f>
        <v>-11774</v>
      </c>
      <c r="H21" s="58">
        <f>+'CF by Qtr'!H34</f>
        <v>-11261</v>
      </c>
      <c r="I21" s="58">
        <f>+'CF by Qtr'!I34</f>
        <v>-10276</v>
      </c>
      <c r="J21" s="58">
        <f>+'CF by Qtr'!J34</f>
        <v>-7233</v>
      </c>
      <c r="K21" s="58"/>
      <c r="M21" s="53">
        <f t="shared" si="1"/>
        <v>-31628</v>
      </c>
      <c r="N21" s="53">
        <f>SUM(F21:I21)</f>
        <v>-41566</v>
      </c>
    </row>
    <row r="22" spans="1:14" x14ac:dyDescent="0.25">
      <c r="A22" s="55" t="s">
        <v>129</v>
      </c>
      <c r="B22" s="70">
        <f>+'CF by Qtr'!B35</f>
        <v>-47</v>
      </c>
      <c r="C22" s="70">
        <f>+'CF by Qtr'!C35</f>
        <v>-81</v>
      </c>
      <c r="D22" s="70">
        <f>+'CF by Qtr'!D35</f>
        <v>-187</v>
      </c>
      <c r="E22" s="70">
        <f>+'CF by Qtr'!E35</f>
        <v>-57</v>
      </c>
      <c r="F22" s="70">
        <f>+'CF by Qtr'!F35</f>
        <v>-81</v>
      </c>
      <c r="G22" s="70">
        <f>+'CF by Qtr'!G35</f>
        <v>-63</v>
      </c>
      <c r="H22" s="70">
        <f>+'CF by Qtr'!H35</f>
        <v>-58</v>
      </c>
      <c r="I22" s="70">
        <f>+'CF by Qtr'!I35</f>
        <v>-117</v>
      </c>
      <c r="J22" s="70">
        <f>+'CF by Qtr'!J35</f>
        <v>-125</v>
      </c>
      <c r="K22" s="75"/>
      <c r="M22" s="72">
        <f t="shared" si="1"/>
        <v>-372</v>
      </c>
      <c r="N22" s="72">
        <f>SUM(F22:I22)</f>
        <v>-319</v>
      </c>
    </row>
    <row r="23" spans="1:14" x14ac:dyDescent="0.25">
      <c r="A23" s="55" t="s">
        <v>130</v>
      </c>
      <c r="B23" s="53">
        <f>SUM(B21:B22)</f>
        <v>-5370</v>
      </c>
      <c r="C23" s="53">
        <f t="shared" ref="C23:I23" si="4">SUM(C21:C22)</f>
        <v>-5321</v>
      </c>
      <c r="D23" s="53">
        <f t="shared" si="4"/>
        <v>-7721</v>
      </c>
      <c r="E23" s="53">
        <f t="shared" si="4"/>
        <v>-13588</v>
      </c>
      <c r="F23" s="53">
        <f t="shared" si="4"/>
        <v>-8336</v>
      </c>
      <c r="G23" s="53">
        <f t="shared" si="4"/>
        <v>-11837</v>
      </c>
      <c r="H23" s="53">
        <f t="shared" si="4"/>
        <v>-11319</v>
      </c>
      <c r="I23" s="53">
        <f t="shared" si="4"/>
        <v>-10393</v>
      </c>
      <c r="J23" s="53">
        <f t="shared" ref="J23" si="5">SUM(J21:J22)</f>
        <v>-7358</v>
      </c>
      <c r="K23" s="53"/>
      <c r="M23" s="53">
        <f>SUM(M21:M22)</f>
        <v>-32000</v>
      </c>
      <c r="N23" s="53">
        <f>SUM(N21:N22)</f>
        <v>-41885</v>
      </c>
    </row>
    <row r="24" spans="1:14" x14ac:dyDescent="0.25">
      <c r="A24" s="55"/>
      <c r="B24" s="47"/>
      <c r="C24" s="47"/>
      <c r="D24" s="47"/>
      <c r="E24" s="47"/>
      <c r="F24" s="47"/>
      <c r="G24" s="47"/>
      <c r="H24" s="47"/>
      <c r="I24" s="47"/>
      <c r="J24" s="47"/>
      <c r="K24" s="47"/>
      <c r="M24" s="53">
        <f t="shared" si="1"/>
        <v>0</v>
      </c>
      <c r="N24" s="53">
        <f t="shared" ref="N24:N26" si="6">SUM(F24:I24)</f>
        <v>0</v>
      </c>
    </row>
    <row r="25" spans="1:14" x14ac:dyDescent="0.25">
      <c r="A25" s="55" t="s">
        <v>176</v>
      </c>
      <c r="B25" s="58">
        <f>SUM('CF by Qtr'!B38:B39)</f>
        <v>-250</v>
      </c>
      <c r="C25" s="58">
        <f>SUM('CF by Qtr'!C38:C39)</f>
        <v>-8500</v>
      </c>
      <c r="D25" s="58">
        <f>SUM('CF by Qtr'!D38:D39)</f>
        <v>0</v>
      </c>
      <c r="E25" s="58">
        <f>SUM('CF by Qtr'!E38:E39)</f>
        <v>0</v>
      </c>
      <c r="F25" s="58">
        <f>SUM('CF by Qtr'!F38:F39)</f>
        <v>0</v>
      </c>
      <c r="G25" s="58">
        <f>SUM('CF by Qtr'!G38:G39)</f>
        <v>0</v>
      </c>
      <c r="H25" s="58">
        <f>SUM('CF by Qtr'!H38:H39)</f>
        <v>0</v>
      </c>
      <c r="I25" s="58">
        <f>SUM('CF by Qtr'!I38:I39)</f>
        <v>0</v>
      </c>
      <c r="J25" s="58">
        <f>SUM('CF by Qtr'!J38:J39)</f>
        <v>0</v>
      </c>
      <c r="K25" s="58"/>
      <c r="M25" s="53">
        <f t="shared" si="1"/>
        <v>-8750</v>
      </c>
      <c r="N25" s="53">
        <f t="shared" si="6"/>
        <v>0</v>
      </c>
    </row>
    <row r="26" spans="1:14" x14ac:dyDescent="0.25">
      <c r="A26" s="55" t="s">
        <v>179</v>
      </c>
      <c r="B26" s="70">
        <f>SUM('CF by Qtr'!B40:B43)</f>
        <v>31</v>
      </c>
      <c r="C26" s="70">
        <f>SUM('CF by Qtr'!C40:C43)</f>
        <v>73</v>
      </c>
      <c r="D26" s="70">
        <f>SUM('CF by Qtr'!D40:D43)</f>
        <v>56</v>
      </c>
      <c r="E26" s="70">
        <f>SUM('CF by Qtr'!E40:E43)</f>
        <v>-89</v>
      </c>
      <c r="F26" s="70">
        <f>SUM('CF by Qtr'!F40:F43)</f>
        <v>-50</v>
      </c>
      <c r="G26" s="70">
        <f>SUM('CF by Qtr'!G40:G43)</f>
        <v>3356</v>
      </c>
      <c r="H26" s="70">
        <f>SUM('CF by Qtr'!H40:H43)</f>
        <v>909</v>
      </c>
      <c r="I26" s="70">
        <f>SUM('CF by Qtr'!I40:I43)</f>
        <v>197</v>
      </c>
      <c r="J26" s="70">
        <f>SUM('CF by Qtr'!J40:J43)</f>
        <v>-389</v>
      </c>
      <c r="K26" s="75"/>
      <c r="M26" s="72">
        <f t="shared" si="1"/>
        <v>71</v>
      </c>
      <c r="N26" s="72">
        <f t="shared" si="6"/>
        <v>4412</v>
      </c>
    </row>
    <row r="27" spans="1:14" x14ac:dyDescent="0.25">
      <c r="A27" s="55" t="s">
        <v>136</v>
      </c>
      <c r="B27" s="101">
        <f>SUM(B25:B26)</f>
        <v>-219</v>
      </c>
      <c r="C27" s="101">
        <f t="shared" ref="C27:I27" si="7">SUM(C25:C26)</f>
        <v>-8427</v>
      </c>
      <c r="D27" s="101">
        <f t="shared" si="7"/>
        <v>56</v>
      </c>
      <c r="E27" s="101">
        <f t="shared" si="7"/>
        <v>-89</v>
      </c>
      <c r="F27" s="101">
        <f t="shared" si="7"/>
        <v>-50</v>
      </c>
      <c r="G27" s="101">
        <f t="shared" si="7"/>
        <v>3356</v>
      </c>
      <c r="H27" s="101">
        <f t="shared" si="7"/>
        <v>909</v>
      </c>
      <c r="I27" s="101">
        <f t="shared" si="7"/>
        <v>197</v>
      </c>
      <c r="J27" s="101">
        <f t="shared" ref="J27" si="8">SUM(J25:J26)</f>
        <v>-389</v>
      </c>
      <c r="K27" s="77"/>
      <c r="M27" s="101">
        <f>SUM(M25:M26)</f>
        <v>-8679</v>
      </c>
      <c r="N27" s="101">
        <f>SUM(N25:N26)</f>
        <v>4412</v>
      </c>
    </row>
    <row r="28" spans="1:14" x14ac:dyDescent="0.25">
      <c r="A28" s="55"/>
      <c r="B28" s="53"/>
      <c r="C28" s="53"/>
      <c r="D28" s="53"/>
      <c r="E28" s="53"/>
      <c r="F28" s="53"/>
      <c r="G28" s="53"/>
      <c r="H28" s="53"/>
      <c r="I28" s="53"/>
      <c r="J28" s="53"/>
      <c r="K28" s="53"/>
      <c r="M28" s="53"/>
      <c r="N28" s="53"/>
    </row>
    <row r="29" spans="1:14" x14ac:dyDescent="0.25">
      <c r="A29" s="55" t="s">
        <v>137</v>
      </c>
      <c r="B29" s="61">
        <f>+B19+B23+B27</f>
        <v>2964</v>
      </c>
      <c r="C29" s="61">
        <f t="shared" ref="C29:I29" si="9">+C19+C23+C27</f>
        <v>855</v>
      </c>
      <c r="D29" s="61">
        <f t="shared" si="9"/>
        <v>2964</v>
      </c>
      <c r="E29" s="61">
        <f t="shared" si="9"/>
        <v>-2069</v>
      </c>
      <c r="F29" s="61">
        <f t="shared" si="9"/>
        <v>-3705</v>
      </c>
      <c r="G29" s="61">
        <f t="shared" si="9"/>
        <v>8945</v>
      </c>
      <c r="H29" s="61">
        <f t="shared" si="9"/>
        <v>175</v>
      </c>
      <c r="I29" s="61">
        <f t="shared" si="9"/>
        <v>-250</v>
      </c>
      <c r="J29" s="61">
        <f t="shared" ref="J29" si="10">+J19+J23+J27</f>
        <v>488</v>
      </c>
      <c r="K29" s="61"/>
      <c r="M29" s="61">
        <f>+M19+M23+M27</f>
        <v>4714</v>
      </c>
      <c r="N29" s="61">
        <f>+N19+N23+N27</f>
        <v>5165</v>
      </c>
    </row>
    <row r="30" spans="1:14" x14ac:dyDescent="0.25">
      <c r="A30" s="55" t="s">
        <v>138</v>
      </c>
      <c r="B30" s="70">
        <f>+'Actual - Summary BS by Qtr'!B10</f>
        <v>3815</v>
      </c>
      <c r="C30" s="70">
        <f>+'Actual - Summary BS by Qtr'!C10</f>
        <v>6779</v>
      </c>
      <c r="D30" s="70">
        <f>+'Actual - Summary BS by Qtr'!D10</f>
        <v>7634</v>
      </c>
      <c r="E30" s="70">
        <f>+'Actual - Summary BS by Qtr'!E10</f>
        <v>10598</v>
      </c>
      <c r="F30" s="70">
        <f>+'Actual - Summary BS by Qtr'!F10</f>
        <v>8529</v>
      </c>
      <c r="G30" s="70">
        <f>+'Actual - Summary BS by Qtr'!G10</f>
        <v>4824</v>
      </c>
      <c r="H30" s="70">
        <f>+'Actual - Summary BS by Qtr'!H10</f>
        <v>13769</v>
      </c>
      <c r="I30" s="70">
        <f>+'Actual - Summary BS by Qtr'!I10</f>
        <v>13944</v>
      </c>
      <c r="J30" s="70">
        <f>+'Actual - Summary BS by Qtr'!J10</f>
        <v>13694</v>
      </c>
      <c r="K30" s="75"/>
      <c r="M30" s="72">
        <f>+B30</f>
        <v>3815</v>
      </c>
      <c r="N30" s="72">
        <f>+M32</f>
        <v>8529</v>
      </c>
    </row>
    <row r="31" spans="1:14" x14ac:dyDescent="0.25">
      <c r="A31" s="55"/>
      <c r="B31" s="58"/>
      <c r="C31" s="58"/>
      <c r="D31" s="58"/>
      <c r="E31" s="58"/>
      <c r="F31" s="58"/>
      <c r="G31" s="58"/>
      <c r="H31" s="58"/>
      <c r="I31" s="58"/>
      <c r="J31" s="58"/>
      <c r="K31" s="58"/>
      <c r="M31" s="53"/>
      <c r="N31" s="53"/>
    </row>
    <row r="32" spans="1:14" ht="15.75" thickBot="1" x14ac:dyDescent="0.3">
      <c r="A32" s="55" t="s">
        <v>139</v>
      </c>
      <c r="B32" s="102">
        <f>SUM(B29:B30)</f>
        <v>6779</v>
      </c>
      <c r="C32" s="102">
        <f t="shared" ref="C32:I32" si="11">SUM(C29:C30)</f>
        <v>7634</v>
      </c>
      <c r="D32" s="102">
        <f t="shared" si="11"/>
        <v>10598</v>
      </c>
      <c r="E32" s="102">
        <f t="shared" si="11"/>
        <v>8529</v>
      </c>
      <c r="F32" s="102">
        <f t="shared" si="11"/>
        <v>4824</v>
      </c>
      <c r="G32" s="102">
        <f t="shared" si="11"/>
        <v>13769</v>
      </c>
      <c r="H32" s="102">
        <f t="shared" si="11"/>
        <v>13944</v>
      </c>
      <c r="I32" s="102">
        <f t="shared" si="11"/>
        <v>13694</v>
      </c>
      <c r="J32" s="102">
        <f t="shared" ref="J32" si="12">SUM(J29:J30)</f>
        <v>14182</v>
      </c>
      <c r="K32" s="103"/>
      <c r="M32" s="102">
        <f>SUM(M29:M30)</f>
        <v>8529</v>
      </c>
      <c r="N32" s="102">
        <f>SUM(N29:N30)</f>
        <v>13694</v>
      </c>
    </row>
    <row r="33" spans="1:14" ht="15.75" thickTop="1" x14ac:dyDescent="0.25">
      <c r="A33" s="55"/>
      <c r="B33" s="103"/>
      <c r="C33" s="103"/>
      <c r="D33" s="103"/>
      <c r="E33" s="103"/>
      <c r="F33" s="103"/>
      <c r="G33" s="103"/>
      <c r="H33" s="103"/>
      <c r="I33" s="103"/>
      <c r="J33" s="103"/>
      <c r="K33" s="103"/>
      <c r="M33" s="103"/>
      <c r="N33" s="103"/>
    </row>
    <row r="34" spans="1:14" x14ac:dyDescent="0.25">
      <c r="A34" s="47"/>
      <c r="B34" s="47"/>
      <c r="C34" s="47"/>
      <c r="D34" s="47"/>
      <c r="E34" s="47"/>
      <c r="F34" s="47"/>
      <c r="G34" s="47"/>
      <c r="H34" s="47"/>
      <c r="I34" s="47"/>
      <c r="J34" s="47"/>
      <c r="K34" s="47"/>
      <c r="M34" s="53"/>
      <c r="N34" s="53"/>
    </row>
    <row r="35" spans="1:14" x14ac:dyDescent="0.25">
      <c r="A35" s="47"/>
      <c r="B35" s="99">
        <f>+'Actual - Summary BS by Qtr'!C10</f>
        <v>6779</v>
      </c>
      <c r="C35" s="99">
        <f>+'Actual - Summary BS by Qtr'!D10</f>
        <v>7634</v>
      </c>
      <c r="D35" s="99">
        <f>+'Actual - Summary BS by Qtr'!E10</f>
        <v>10598</v>
      </c>
      <c r="E35" s="99">
        <f>+'Actual - Summary BS by Qtr'!F10</f>
        <v>8529</v>
      </c>
      <c r="F35" s="99">
        <f>+'Actual - Summary BS by Qtr'!G10</f>
        <v>4824</v>
      </c>
      <c r="G35" s="99">
        <f>+'Actual - Summary BS by Qtr'!H10</f>
        <v>13769</v>
      </c>
      <c r="H35" s="99">
        <f>+'Actual - Summary BS by Qtr'!I10</f>
        <v>13944</v>
      </c>
      <c r="I35" s="99">
        <f>+'Actual - Summary BS by Qtr'!J10</f>
        <v>13694</v>
      </c>
      <c r="J35" s="99">
        <f>+'Actual - Summary BS by Qtr'!K10</f>
        <v>14182</v>
      </c>
      <c r="K35" s="99"/>
      <c r="M35" s="53">
        <v>8529</v>
      </c>
      <c r="N35" s="53">
        <v>13694</v>
      </c>
    </row>
    <row r="36" spans="1:14" x14ac:dyDescent="0.25">
      <c r="A36" s="47"/>
      <c r="B36" s="47"/>
      <c r="C36" s="54"/>
      <c r="D36" s="54"/>
      <c r="E36" s="54"/>
      <c r="F36" s="47"/>
      <c r="H36" s="53"/>
      <c r="I36" s="53"/>
      <c r="M36" s="53"/>
      <c r="N36" s="53"/>
    </row>
    <row r="37" spans="1:14" x14ac:dyDescent="0.25">
      <c r="A37" s="47"/>
      <c r="B37" s="47"/>
      <c r="C37" s="54"/>
      <c r="D37" s="54"/>
      <c r="E37" s="54"/>
      <c r="F37" s="47"/>
      <c r="H37" s="53"/>
      <c r="I37" s="53"/>
      <c r="M37" s="53"/>
      <c r="N37" s="53"/>
    </row>
    <row r="38" spans="1:14" x14ac:dyDescent="0.25">
      <c r="A38" s="55" t="s">
        <v>140</v>
      </c>
      <c r="B38" s="47"/>
      <c r="C38" s="54"/>
      <c r="D38" s="54"/>
      <c r="E38" s="54"/>
      <c r="F38" s="47"/>
      <c r="H38" s="53"/>
      <c r="I38" s="53"/>
      <c r="M38" s="53"/>
      <c r="N38" s="53"/>
    </row>
    <row r="39" spans="1:14" x14ac:dyDescent="0.25">
      <c r="A39" s="55" t="s">
        <v>141</v>
      </c>
      <c r="B39" s="47"/>
      <c r="C39" s="54"/>
      <c r="D39" s="54"/>
      <c r="E39" s="54"/>
      <c r="F39" s="47"/>
      <c r="H39" s="53"/>
      <c r="I39" s="53"/>
      <c r="M39" s="53"/>
      <c r="N39" s="53"/>
    </row>
    <row r="40" spans="1:14" x14ac:dyDescent="0.25">
      <c r="A40" s="55" t="s">
        <v>142</v>
      </c>
      <c r="B40" s="47"/>
      <c r="C40" s="54"/>
      <c r="D40" s="54"/>
      <c r="E40" s="54"/>
      <c r="F40" s="47"/>
      <c r="H40" s="53"/>
      <c r="I40" s="53"/>
      <c r="M40" s="53"/>
      <c r="N40" s="53"/>
    </row>
    <row r="41" spans="1:14" x14ac:dyDescent="0.25">
      <c r="A41" s="55" t="s">
        <v>143</v>
      </c>
      <c r="B41" s="67">
        <v>1016</v>
      </c>
      <c r="C41" s="54">
        <v>730</v>
      </c>
      <c r="D41" s="54">
        <v>881</v>
      </c>
      <c r="E41" s="54">
        <v>454</v>
      </c>
      <c r="F41" s="58">
        <v>2726</v>
      </c>
      <c r="G41" s="53">
        <v>322</v>
      </c>
      <c r="H41" s="53">
        <v>-691</v>
      </c>
      <c r="I41" s="53">
        <v>-166</v>
      </c>
      <c r="J41" s="53">
        <f>+'CF by Qtr'!J57</f>
        <v>2639</v>
      </c>
      <c r="M41" s="53">
        <f t="shared" si="1"/>
        <v>3081</v>
      </c>
      <c r="N41" s="53">
        <f>SUM(F41:I41)</f>
        <v>2191</v>
      </c>
    </row>
    <row r="42" spans="1:14" x14ac:dyDescent="0.25">
      <c r="A42" s="47"/>
      <c r="B42" s="47"/>
      <c r="C42" s="54"/>
      <c r="D42" s="54"/>
      <c r="E42" s="54"/>
      <c r="F42" s="54"/>
      <c r="G42" s="53"/>
      <c r="H42" s="53"/>
      <c r="I42" s="53"/>
      <c r="M42" s="53"/>
      <c r="N42" s="53"/>
    </row>
    <row r="43" spans="1:14" x14ac:dyDescent="0.25">
      <c r="A43" s="55" t="s">
        <v>144</v>
      </c>
      <c r="B43" s="47"/>
      <c r="C43" s="54"/>
      <c r="D43" s="54"/>
      <c r="E43" s="54"/>
      <c r="F43" s="54"/>
      <c r="G43" s="53"/>
      <c r="H43" s="53"/>
      <c r="I43" s="53"/>
      <c r="M43" s="53"/>
      <c r="N43" s="53"/>
    </row>
    <row r="44" spans="1:14" x14ac:dyDescent="0.25">
      <c r="A44" s="55" t="s">
        <v>145</v>
      </c>
      <c r="B44" s="67">
        <v>51</v>
      </c>
      <c r="C44" s="54">
        <v>29</v>
      </c>
      <c r="D44" s="54">
        <v>7</v>
      </c>
      <c r="E44" s="54">
        <v>8</v>
      </c>
      <c r="F44" s="68" t="s">
        <v>146</v>
      </c>
      <c r="G44" s="53">
        <v>9</v>
      </c>
      <c r="H44" s="53">
        <v>8</v>
      </c>
      <c r="I44" s="53">
        <v>8</v>
      </c>
      <c r="J44" s="53">
        <f>+'CF by Qtr'!J60</f>
        <v>8</v>
      </c>
      <c r="M44" s="53">
        <f t="shared" si="1"/>
        <v>95</v>
      </c>
      <c r="N44" s="53">
        <f>SUM(F44:I44)</f>
        <v>25</v>
      </c>
    </row>
    <row r="45" spans="1:14" x14ac:dyDescent="0.25">
      <c r="A45" s="55" t="s">
        <v>147</v>
      </c>
      <c r="B45" s="67">
        <v>273</v>
      </c>
      <c r="C45" s="54">
        <v>1693</v>
      </c>
      <c r="D45" s="54">
        <v>357</v>
      </c>
      <c r="E45" s="54">
        <v>1768</v>
      </c>
      <c r="F45" s="58">
        <v>160</v>
      </c>
      <c r="G45" s="53">
        <v>1014</v>
      </c>
      <c r="H45" s="53">
        <v>210</v>
      </c>
      <c r="I45" s="53">
        <v>1</v>
      </c>
      <c r="J45" s="53">
        <f>+'CF by Qtr'!J61</f>
        <v>18</v>
      </c>
      <c r="M45" s="53">
        <f t="shared" si="1"/>
        <v>4091</v>
      </c>
      <c r="N45" s="53">
        <f>SUM(F45:I45)</f>
        <v>1385</v>
      </c>
    </row>
    <row r="46" spans="1:14" x14ac:dyDescent="0.25">
      <c r="B46" s="55"/>
      <c r="C46" s="47"/>
      <c r="D46" s="55"/>
      <c r="E46" s="47"/>
      <c r="H46" s="53">
        <f>+P46-G46-F46</f>
        <v>0</v>
      </c>
      <c r="I46" s="47"/>
    </row>
    <row r="47" spans="1:14" x14ac:dyDescent="0.25">
      <c r="B47" s="55"/>
      <c r="C47" s="47"/>
      <c r="D47" s="55"/>
      <c r="E47" s="47"/>
      <c r="I47" s="47"/>
    </row>
    <row r="48" spans="1:14" x14ac:dyDescent="0.25">
      <c r="B48" s="55"/>
      <c r="C48" s="47"/>
      <c r="D48" s="55"/>
      <c r="E48" s="47"/>
      <c r="I48" s="47"/>
    </row>
    <row r="49" spans="2:9" x14ac:dyDescent="0.25">
      <c r="B49" s="55"/>
      <c r="C49" s="47"/>
      <c r="D49" s="55"/>
      <c r="E49" s="47"/>
      <c r="I49" s="47"/>
    </row>
    <row r="50" spans="2:9" x14ac:dyDescent="0.25">
      <c r="B50" s="55"/>
      <c r="C50" s="47"/>
      <c r="D50" s="55"/>
      <c r="E50" s="47"/>
      <c r="I50" s="47"/>
    </row>
    <row r="51" spans="2:9" x14ac:dyDescent="0.25">
      <c r="B51" s="55"/>
      <c r="C51" s="47"/>
      <c r="D51" s="55"/>
      <c r="E51" s="47"/>
      <c r="I51" s="47"/>
    </row>
    <row r="52" spans="2:9" x14ac:dyDescent="0.25">
      <c r="B52" s="55"/>
      <c r="C52" s="47"/>
      <c r="D52" s="55"/>
      <c r="E52" s="47"/>
      <c r="I52" s="47"/>
    </row>
    <row r="53" spans="2:9" x14ac:dyDescent="0.25">
      <c r="B53" s="55"/>
      <c r="C53" s="47"/>
      <c r="D53" s="55"/>
      <c r="E53" s="47"/>
      <c r="I53" s="47"/>
    </row>
    <row r="54" spans="2:9" x14ac:dyDescent="0.25">
      <c r="B54" s="55"/>
      <c r="C54" s="47"/>
      <c r="D54" s="55"/>
      <c r="E54" s="47"/>
      <c r="I54" s="47"/>
    </row>
    <row r="55" spans="2:9" x14ac:dyDescent="0.25">
      <c r="B55" s="55"/>
      <c r="C55" s="47"/>
      <c r="D55" s="55"/>
      <c r="E55" s="47"/>
      <c r="I55" s="47"/>
    </row>
    <row r="56" spans="2:9" x14ac:dyDescent="0.25">
      <c r="B56" s="55"/>
      <c r="C56" s="47"/>
      <c r="D56" s="55"/>
      <c r="E56" s="47"/>
      <c r="I56" s="47"/>
    </row>
    <row r="57" spans="2:9" x14ac:dyDescent="0.25">
      <c r="B57" s="55"/>
      <c r="C57" s="47"/>
      <c r="D57" s="55"/>
      <c r="E57" s="47"/>
      <c r="I57" s="47"/>
    </row>
    <row r="58" spans="2:9" x14ac:dyDescent="0.25">
      <c r="B58" s="55"/>
      <c r="C58" s="47"/>
      <c r="D58" s="55"/>
      <c r="E58" s="47"/>
      <c r="I58" s="47"/>
    </row>
    <row r="59" spans="2:9" x14ac:dyDescent="0.25">
      <c r="B59" s="55"/>
      <c r="C59" s="47"/>
      <c r="D59" s="55"/>
      <c r="E59" s="47"/>
      <c r="I59" s="47"/>
    </row>
    <row r="60" spans="2:9" x14ac:dyDescent="0.25">
      <c r="B60" s="55"/>
      <c r="C60" s="47"/>
      <c r="D60" s="55"/>
      <c r="E60" s="47"/>
      <c r="I60" s="47"/>
    </row>
    <row r="61" spans="2:9" x14ac:dyDescent="0.25">
      <c r="B61" s="55"/>
      <c r="C61" s="47"/>
      <c r="D61" s="55"/>
      <c r="E61" s="47"/>
      <c r="I61" s="47"/>
    </row>
    <row r="62" spans="2:9" x14ac:dyDescent="0.25">
      <c r="B62" s="55"/>
      <c r="C62" s="47"/>
      <c r="D62" s="55"/>
      <c r="E62" s="47"/>
      <c r="I62" s="47"/>
    </row>
    <row r="63" spans="2:9" x14ac:dyDescent="0.25">
      <c r="B63" s="55"/>
      <c r="C63" s="47"/>
      <c r="D63" s="55"/>
      <c r="E63" s="47"/>
      <c r="I63" s="47"/>
    </row>
    <row r="64" spans="2:9" x14ac:dyDescent="0.25">
      <c r="B64" s="55"/>
      <c r="C64" s="47"/>
      <c r="D64" s="55"/>
      <c r="E64" s="47"/>
      <c r="I64" s="47"/>
    </row>
    <row r="65" spans="2:9" x14ac:dyDescent="0.25">
      <c r="B65" s="55"/>
      <c r="C65" s="47"/>
      <c r="D65" s="55"/>
      <c r="E65" s="47"/>
      <c r="I65" s="47"/>
    </row>
    <row r="66" spans="2:9" x14ac:dyDescent="0.25">
      <c r="B66" s="55"/>
      <c r="C66" s="47"/>
      <c r="D66" s="55"/>
      <c r="E66" s="47"/>
      <c r="I66" s="47"/>
    </row>
    <row r="67" spans="2:9" x14ac:dyDescent="0.25">
      <c r="B67" s="55"/>
      <c r="C67" s="47"/>
      <c r="D67" s="55"/>
      <c r="E67" s="47"/>
      <c r="I67" s="47"/>
    </row>
    <row r="68" spans="2:9" x14ac:dyDescent="0.25">
      <c r="C68" s="47"/>
    </row>
    <row r="69" spans="2:9" x14ac:dyDescent="0.25">
      <c r="C69" s="47"/>
    </row>
    <row r="70" spans="2:9" x14ac:dyDescent="0.25">
      <c r="C70" s="47"/>
    </row>
    <row r="71" spans="2:9" x14ac:dyDescent="0.25">
      <c r="C71" s="47"/>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3"/>
  <sheetViews>
    <sheetView workbookViewId="0">
      <pane xSplit="1" ySplit="8" topLeftCell="B9" activePane="bottomRight" state="frozen"/>
      <selection pane="topRight" activeCell="B1" sqref="B1"/>
      <selection pane="bottomLeft" activeCell="A8" sqref="A8"/>
      <selection pane="bottomRight" activeCell="K58" sqref="K58:K62"/>
    </sheetView>
  </sheetViews>
  <sheetFormatPr defaultRowHeight="15" x14ac:dyDescent="0.25"/>
  <cols>
    <col min="1" max="1" width="42.5703125" customWidth="1"/>
    <col min="11" max="11" width="10.85546875" customWidth="1"/>
  </cols>
  <sheetData>
    <row r="1" spans="1:25" x14ac:dyDescent="0.25">
      <c r="A1" s="46" t="s">
        <v>0</v>
      </c>
    </row>
    <row r="2" spans="1:25" x14ac:dyDescent="0.25">
      <c r="A2" t="s">
        <v>182</v>
      </c>
    </row>
    <row r="3" spans="1:25" x14ac:dyDescent="0.25">
      <c r="A3" s="46" t="s">
        <v>166</v>
      </c>
      <c r="M3" s="7"/>
    </row>
    <row r="6" spans="1:25" x14ac:dyDescent="0.25">
      <c r="B6" s="48" t="s">
        <v>65</v>
      </c>
      <c r="C6" s="48" t="s">
        <v>65</v>
      </c>
      <c r="D6" s="48" t="s">
        <v>65</v>
      </c>
      <c r="E6" s="48" t="s">
        <v>65</v>
      </c>
      <c r="F6" s="48" t="s">
        <v>65</v>
      </c>
      <c r="G6" s="48" t="s">
        <v>65</v>
      </c>
      <c r="H6" s="48" t="s">
        <v>65</v>
      </c>
      <c r="I6" s="48" t="s">
        <v>65</v>
      </c>
      <c r="J6" s="48" t="s">
        <v>65</v>
      </c>
    </row>
    <row r="7" spans="1:25" x14ac:dyDescent="0.25">
      <c r="B7" s="10" t="s">
        <v>33</v>
      </c>
      <c r="C7" s="12" t="s">
        <v>36</v>
      </c>
      <c r="D7" s="12" t="s">
        <v>37</v>
      </c>
      <c r="E7" s="12" t="s">
        <v>38</v>
      </c>
      <c r="F7" s="10" t="s">
        <v>33</v>
      </c>
      <c r="G7" s="12" t="s">
        <v>36</v>
      </c>
      <c r="H7" s="12" t="s">
        <v>37</v>
      </c>
      <c r="I7" s="12" t="s">
        <v>38</v>
      </c>
      <c r="J7" s="10" t="s">
        <v>33</v>
      </c>
    </row>
    <row r="8" spans="1:25" x14ac:dyDescent="0.25">
      <c r="B8" s="11" t="s">
        <v>112</v>
      </c>
      <c r="C8" s="11" t="s">
        <v>34</v>
      </c>
      <c r="D8" s="11" t="s">
        <v>34</v>
      </c>
      <c r="E8" s="11" t="s">
        <v>34</v>
      </c>
      <c r="F8" s="11" t="s">
        <v>34</v>
      </c>
      <c r="G8" s="11" t="s">
        <v>39</v>
      </c>
      <c r="H8" s="11" t="s">
        <v>39</v>
      </c>
      <c r="I8" s="11" t="s">
        <v>39</v>
      </c>
      <c r="J8" s="11" t="s">
        <v>39</v>
      </c>
    </row>
    <row r="9" spans="1:25" x14ac:dyDescent="0.25">
      <c r="A9" t="s">
        <v>47</v>
      </c>
    </row>
    <row r="10" spans="1:25" x14ac:dyDescent="0.25">
      <c r="A10" t="s">
        <v>48</v>
      </c>
    </row>
    <row r="11" spans="1:25" x14ac:dyDescent="0.25">
      <c r="A11" s="29" t="s">
        <v>49</v>
      </c>
      <c r="B11" s="30">
        <f>+'Store info by Qtr'!B7</f>
        <v>59</v>
      </c>
      <c r="C11" s="30">
        <f>+'Store info by Qtr'!C7</f>
        <v>62</v>
      </c>
      <c r="D11" s="30">
        <f>+'Store info by Qtr'!D7</f>
        <v>63</v>
      </c>
      <c r="E11" s="30">
        <f>+'Store info by Qtr'!E7</f>
        <v>65</v>
      </c>
      <c r="F11" s="30">
        <f>+'Store info by Qtr'!F7</f>
        <v>69</v>
      </c>
      <c r="G11" s="30">
        <v>71</v>
      </c>
      <c r="H11" s="30">
        <v>75</v>
      </c>
      <c r="I11" s="30">
        <v>77</v>
      </c>
      <c r="J11" s="30">
        <v>80</v>
      </c>
    </row>
    <row r="12" spans="1:25" x14ac:dyDescent="0.25">
      <c r="B12" s="7"/>
      <c r="C12" s="7"/>
      <c r="D12" s="7"/>
      <c r="E12" s="7"/>
      <c r="F12" s="7"/>
      <c r="G12" s="7"/>
      <c r="H12" s="7"/>
      <c r="I12" s="7"/>
      <c r="J12" s="7"/>
    </row>
    <row r="13" spans="1:25" x14ac:dyDescent="0.25">
      <c r="B13" s="7"/>
      <c r="C13" s="43"/>
      <c r="D13" s="43"/>
      <c r="E13" s="43"/>
      <c r="F13" s="43"/>
      <c r="G13" s="43"/>
      <c r="H13" s="43"/>
      <c r="I13" s="43"/>
      <c r="J13" s="43"/>
    </row>
    <row r="14" spans="1:25" x14ac:dyDescent="0.25">
      <c r="A14" s="29" t="s">
        <v>53</v>
      </c>
      <c r="B14" s="29"/>
      <c r="C14" s="30">
        <f t="shared" ref="C14:J14" si="0">+C17/C11</f>
        <v>1077.8870967741937</v>
      </c>
      <c r="D14" s="30">
        <f t="shared" si="0"/>
        <v>1196.2222222222222</v>
      </c>
      <c r="E14" s="30">
        <f t="shared" si="0"/>
        <v>1137.0769230769231</v>
      </c>
      <c r="F14" s="30">
        <f t="shared" si="0"/>
        <v>1028.4202898550725</v>
      </c>
      <c r="G14" s="30">
        <f t="shared" si="0"/>
        <v>1099.3521126760563</v>
      </c>
      <c r="H14" s="30">
        <f t="shared" si="0"/>
        <v>1172.1199999999999</v>
      </c>
      <c r="I14" s="30">
        <f t="shared" si="0"/>
        <v>1111.6493506493507</v>
      </c>
      <c r="J14" s="30">
        <f t="shared" si="0"/>
        <v>988.16250000000002</v>
      </c>
      <c r="L14" s="7"/>
      <c r="M14" s="7"/>
      <c r="N14" s="7"/>
      <c r="O14" s="7"/>
      <c r="P14" s="7"/>
      <c r="Q14" s="7"/>
      <c r="R14" s="7"/>
      <c r="S14" s="7"/>
      <c r="T14" s="7"/>
      <c r="U14" s="7"/>
      <c r="V14" s="7"/>
      <c r="W14" s="7"/>
      <c r="X14" s="7"/>
      <c r="Y14" s="7"/>
    </row>
    <row r="15" spans="1:25" x14ac:dyDescent="0.25">
      <c r="A15" t="s">
        <v>79</v>
      </c>
      <c r="C15" s="7"/>
      <c r="D15" s="7">
        <f t="shared" ref="D15:E15" si="1">AVERAGE(C14:D14)</f>
        <v>1137.0546594982079</v>
      </c>
      <c r="E15" s="7">
        <f t="shared" si="1"/>
        <v>1166.6495726495727</v>
      </c>
      <c r="F15" s="7">
        <f>AVERAGE(E14:F14)</f>
        <v>1082.7486064659979</v>
      </c>
      <c r="G15" s="7">
        <f t="shared" ref="G15:J15" si="2">AVERAGE(F14:G14)</f>
        <v>1063.8862012655645</v>
      </c>
      <c r="H15" s="7">
        <f t="shared" si="2"/>
        <v>1135.736056338028</v>
      </c>
      <c r="I15" s="7">
        <f t="shared" si="2"/>
        <v>1141.8846753246753</v>
      </c>
      <c r="J15" s="7">
        <f t="shared" si="2"/>
        <v>1049.9059253246753</v>
      </c>
      <c r="L15" s="7"/>
      <c r="M15" s="7"/>
      <c r="N15" s="7"/>
      <c r="O15" s="7"/>
      <c r="P15" s="7"/>
      <c r="Q15" s="7"/>
      <c r="R15" s="7"/>
      <c r="S15" s="7"/>
      <c r="T15" s="7"/>
      <c r="U15" s="7"/>
      <c r="V15" s="7"/>
      <c r="W15" s="7"/>
      <c r="X15" s="7"/>
      <c r="Y15" s="7"/>
    </row>
    <row r="16" spans="1:25" x14ac:dyDescent="0.25">
      <c r="A16" t="s">
        <v>66</v>
      </c>
      <c r="B16" s="7"/>
      <c r="C16" s="42">
        <f>+Assumptions!C13</f>
        <v>1.9E-2</v>
      </c>
      <c r="D16" s="42">
        <f>+Assumptions!D13</f>
        <v>3.2000000000000001E-2</v>
      </c>
      <c r="E16" s="42">
        <f>+Assumptions!E13</f>
        <v>4.2000000000000003E-2</v>
      </c>
      <c r="F16" s="42">
        <f>+Assumptions!F13</f>
        <v>3.2000000000000001E-2</v>
      </c>
      <c r="G16" s="42">
        <f>+Assumptions!G13</f>
        <v>3.2000000000000001E-2</v>
      </c>
      <c r="H16" s="42">
        <f>+Assumptions!H13</f>
        <v>0.01</v>
      </c>
      <c r="I16" s="42">
        <f>+Assumptions!I13</f>
        <v>3.0000000000000001E-3</v>
      </c>
      <c r="J16" s="42">
        <f>+Assumptions!J13</f>
        <v>-1.0999999999999999E-2</v>
      </c>
      <c r="L16" s="7"/>
      <c r="M16" s="7"/>
      <c r="N16" s="7"/>
      <c r="O16" s="7"/>
      <c r="P16" s="7"/>
      <c r="Q16" s="7"/>
      <c r="R16" s="7"/>
      <c r="S16" s="7"/>
      <c r="T16" s="7"/>
      <c r="U16" s="7"/>
      <c r="V16" s="7"/>
      <c r="W16" s="7"/>
      <c r="X16" s="7"/>
      <c r="Y16" s="7"/>
    </row>
    <row r="17" spans="1:24" x14ac:dyDescent="0.25">
      <c r="A17" t="s">
        <v>52</v>
      </c>
      <c r="C17" s="7">
        <f>+'Actual - Summary IS by Qtr'!B10</f>
        <v>66829</v>
      </c>
      <c r="D17" s="7">
        <f>+'Actual - Summary IS by Qtr'!C10</f>
        <v>75362</v>
      </c>
      <c r="E17" s="7">
        <f>+'Actual - Summary IS by Qtr'!D10</f>
        <v>73910</v>
      </c>
      <c r="F17" s="7">
        <f>+'Actual - Summary IS by Qtr'!E10</f>
        <v>70961</v>
      </c>
      <c r="G17" s="7">
        <f>+'Actual - Summary IS by Qtr'!F10</f>
        <v>78054</v>
      </c>
      <c r="H17" s="7">
        <f>+'Actual - Summary IS by Qtr'!G10</f>
        <v>87909</v>
      </c>
      <c r="I17" s="7">
        <f>+'Actual - Summary IS by Qtr'!H10</f>
        <v>85597</v>
      </c>
      <c r="J17" s="7">
        <f>+'Actual - Summary IS by Qtr'!I10</f>
        <v>79053</v>
      </c>
      <c r="L17" s="7"/>
      <c r="M17" s="7"/>
      <c r="N17" s="7"/>
      <c r="O17" s="7"/>
      <c r="P17" s="7"/>
      <c r="Q17" s="7"/>
      <c r="R17" s="7"/>
      <c r="S17" s="7"/>
      <c r="T17" s="7"/>
      <c r="U17" s="7"/>
      <c r="V17" s="7"/>
      <c r="W17" s="7"/>
      <c r="X17" s="7"/>
    </row>
    <row r="18" spans="1:24" x14ac:dyDescent="0.25">
      <c r="A18" t="s">
        <v>54</v>
      </c>
      <c r="C18" s="21">
        <f t="shared" ref="C18:J18" si="3">+C17/$F83</f>
        <v>0.23280336652012457</v>
      </c>
      <c r="D18" s="21">
        <f t="shared" si="3"/>
        <v>0.26252865234687978</v>
      </c>
      <c r="E18" s="21">
        <f t="shared" si="3"/>
        <v>0.2574705115967979</v>
      </c>
      <c r="F18" s="21">
        <f t="shared" si="3"/>
        <v>0.24719746953619776</v>
      </c>
      <c r="G18" s="21">
        <f t="shared" si="3"/>
        <v>0.27190641742898747</v>
      </c>
      <c r="H18" s="21">
        <f t="shared" si="3"/>
        <v>0.30623698016456374</v>
      </c>
      <c r="I18" s="21">
        <f t="shared" si="3"/>
        <v>0.29818297092614138</v>
      </c>
      <c r="J18" s="21">
        <f t="shared" si="3"/>
        <v>0.27538650187067604</v>
      </c>
    </row>
    <row r="20" spans="1:24" x14ac:dyDescent="0.25">
      <c r="A20" t="s">
        <v>6</v>
      </c>
      <c r="C20" s="7">
        <f>+'Actual - Summary IS by Qtr'!B12</f>
        <v>17544</v>
      </c>
      <c r="D20" s="7">
        <f>+'Actual - Summary IS by Qtr'!C12</f>
        <v>19802</v>
      </c>
      <c r="E20" s="7">
        <f>+'Actual - Summary IS by Qtr'!D12</f>
        <v>19674</v>
      </c>
      <c r="F20" s="7">
        <f>+'Actual - Summary IS by Qtr'!E12</f>
        <v>18666</v>
      </c>
      <c r="G20" s="7">
        <f>+'Actual - Summary IS by Qtr'!F12</f>
        <v>19998</v>
      </c>
      <c r="H20" s="7">
        <f>+'Actual - Summary IS by Qtr'!G12</f>
        <v>22397</v>
      </c>
      <c r="I20" s="7">
        <f>+'Actual - Summary IS by Qtr'!H12</f>
        <v>22528</v>
      </c>
      <c r="J20" s="7">
        <f>+'Actual - Summary IS by Qtr'!I12</f>
        <v>20619</v>
      </c>
    </row>
    <row r="21" spans="1:24" x14ac:dyDescent="0.25">
      <c r="A21" s="29" t="s">
        <v>56</v>
      </c>
      <c r="B21" s="29"/>
      <c r="C21" s="31">
        <f>+C20/C17</f>
        <v>0.26252076194466473</v>
      </c>
      <c r="D21" s="31">
        <f t="shared" ref="D21:F21" si="4">+D20/D17</f>
        <v>0.26275841936254346</v>
      </c>
      <c r="E21" s="31">
        <f t="shared" si="4"/>
        <v>0.26618860776620212</v>
      </c>
      <c r="F21" s="31">
        <f t="shared" si="4"/>
        <v>0.26304589845126197</v>
      </c>
      <c r="G21" s="31">
        <f t="shared" ref="G21:J21" si="5">+G20/G17</f>
        <v>0.25620724114074872</v>
      </c>
      <c r="H21" s="31">
        <f t="shared" si="5"/>
        <v>0.25477482396569179</v>
      </c>
      <c r="I21" s="31">
        <f t="shared" si="5"/>
        <v>0.2631867939296938</v>
      </c>
      <c r="J21" s="31">
        <f t="shared" si="5"/>
        <v>0.26082501612842018</v>
      </c>
    </row>
    <row r="23" spans="1:24" x14ac:dyDescent="0.25">
      <c r="A23" t="s">
        <v>167</v>
      </c>
      <c r="C23" s="7">
        <f>+'Actual - Summary IS by Qtr'!B13</f>
        <v>41684</v>
      </c>
      <c r="D23" s="7">
        <f>+'Actual - Summary IS by Qtr'!C13</f>
        <v>44769</v>
      </c>
      <c r="E23" s="7">
        <f>+'Actual - Summary IS by Qtr'!D13</f>
        <v>44394</v>
      </c>
      <c r="F23" s="7">
        <f>+'Actual - Summary IS by Qtr'!E13</f>
        <v>44593</v>
      </c>
      <c r="G23" s="7">
        <f>+'Actual - Summary IS by Qtr'!F13</f>
        <v>48090</v>
      </c>
      <c r="H23" s="7">
        <f>+'Actual - Summary IS by Qtr'!G13</f>
        <v>53475</v>
      </c>
      <c r="I23" s="7">
        <f>+'Actual - Summary IS by Qtr'!H13</f>
        <v>52118</v>
      </c>
      <c r="J23" s="7">
        <f>+'Actual - Summary IS by Qtr'!I13</f>
        <v>50449</v>
      </c>
    </row>
    <row r="24" spans="1:24" x14ac:dyDescent="0.25">
      <c r="A24" s="29" t="s">
        <v>56</v>
      </c>
      <c r="B24" s="29"/>
      <c r="C24" s="31">
        <f>+C23/C17</f>
        <v>0.62374119020185848</v>
      </c>
      <c r="D24" s="31">
        <f t="shared" ref="D24:F24" si="6">+D23/D17</f>
        <v>0.5940527056076006</v>
      </c>
      <c r="E24" s="31">
        <f t="shared" si="6"/>
        <v>0.60064943850629149</v>
      </c>
      <c r="F24" s="31">
        <f t="shared" si="6"/>
        <v>0.62841560857372358</v>
      </c>
      <c r="G24" s="31">
        <f t="shared" ref="G24:J24" si="7">+G23/G17</f>
        <v>0.61611192251518176</v>
      </c>
      <c r="H24" s="31">
        <f t="shared" si="7"/>
        <v>0.60829949151963958</v>
      </c>
      <c r="I24" s="31">
        <f t="shared" si="7"/>
        <v>0.60887647931586386</v>
      </c>
      <c r="J24" s="31">
        <f t="shared" si="7"/>
        <v>0.6381667994889505</v>
      </c>
    </row>
    <row r="26" spans="1:24" x14ac:dyDescent="0.25">
      <c r="A26" s="34" t="s">
        <v>164</v>
      </c>
      <c r="B26" s="29"/>
      <c r="C26" s="30">
        <f>+'Actual - Summary IS by Qtr'!B14</f>
        <v>0</v>
      </c>
      <c r="D26" s="30">
        <f>+'Actual - Summary IS by Qtr'!C14</f>
        <v>0</v>
      </c>
      <c r="E26" s="30">
        <f>+'Actual - Summary IS by Qtr'!D14</f>
        <v>0</v>
      </c>
      <c r="F26" s="30">
        <f>+'Actual - Summary IS by Qtr'!E14</f>
        <v>4360</v>
      </c>
      <c r="G26" s="30">
        <f>+'Actual - Summary IS by Qtr'!F14</f>
        <v>0</v>
      </c>
      <c r="H26" s="30">
        <f>+'Actual - Summary IS by Qtr'!G14</f>
        <v>0</v>
      </c>
      <c r="I26" s="30">
        <f>+'Actual - Summary IS by Qtr'!H14</f>
        <v>390</v>
      </c>
      <c r="J26" s="30">
        <f>+'Actual - Summary IS by Qtr'!I14</f>
        <v>1127</v>
      </c>
    </row>
    <row r="27" spans="1:24" x14ac:dyDescent="0.25">
      <c r="A27" s="66"/>
    </row>
    <row r="28" spans="1:24" x14ac:dyDescent="0.25">
      <c r="A28" s="66" t="s">
        <v>13</v>
      </c>
      <c r="C28" s="7">
        <f>+'Actual - Summary IS by Qtr'!B15</f>
        <v>3045</v>
      </c>
      <c r="D28" s="7">
        <f>+'Actual - Summary IS by Qtr'!C15</f>
        <v>3224</v>
      </c>
      <c r="E28" s="7">
        <f>+'Actual - Summary IS by Qtr'!D15</f>
        <v>3246</v>
      </c>
      <c r="F28" s="7">
        <f>+'Actual - Summary IS by Qtr'!E15</f>
        <v>3422</v>
      </c>
      <c r="G28" s="7">
        <f>+'Actual - Summary IS by Qtr'!F15</f>
        <v>3492</v>
      </c>
      <c r="H28" s="7">
        <f>+'Actual - Summary IS by Qtr'!G15</f>
        <v>3723</v>
      </c>
      <c r="I28" s="7">
        <f>+'Actual - Summary IS by Qtr'!H15</f>
        <v>3837</v>
      </c>
      <c r="J28" s="7">
        <f>+'Actual - Summary IS by Qtr'!I15</f>
        <v>4092</v>
      </c>
    </row>
    <row r="29" spans="1:24" x14ac:dyDescent="0.25">
      <c r="A29" s="29" t="s">
        <v>57</v>
      </c>
      <c r="B29" s="29"/>
      <c r="C29" s="35">
        <f t="shared" ref="C29:J29" si="8">+C28/C11</f>
        <v>49.112903225806448</v>
      </c>
      <c r="D29" s="35">
        <f t="shared" si="8"/>
        <v>51.174603174603178</v>
      </c>
      <c r="E29" s="35">
        <f t="shared" si="8"/>
        <v>49.938461538461539</v>
      </c>
      <c r="F29" s="35">
        <f t="shared" si="8"/>
        <v>49.594202898550726</v>
      </c>
      <c r="G29" s="35">
        <f t="shared" si="8"/>
        <v>49.183098591549296</v>
      </c>
      <c r="H29" s="35">
        <f t="shared" si="8"/>
        <v>49.64</v>
      </c>
      <c r="I29" s="35">
        <f t="shared" si="8"/>
        <v>49.831168831168831</v>
      </c>
      <c r="J29" s="35">
        <f t="shared" si="8"/>
        <v>51.15</v>
      </c>
    </row>
    <row r="30" spans="1:24" x14ac:dyDescent="0.25">
      <c r="C30" s="23"/>
      <c r="D30" s="23"/>
      <c r="E30" s="23"/>
      <c r="F30" s="23"/>
      <c r="G30" s="23"/>
      <c r="H30" s="23"/>
      <c r="I30" s="23"/>
      <c r="J30" s="23"/>
    </row>
    <row r="31" spans="1:24" x14ac:dyDescent="0.25">
      <c r="A31" t="s">
        <v>62</v>
      </c>
      <c r="C31" s="7">
        <f>+C17-C20-C23-C26-C28</f>
        <v>4556</v>
      </c>
      <c r="D31" s="7">
        <f t="shared" ref="D31:F31" si="9">+D17-D20-D23-D26-D28</f>
        <v>7567</v>
      </c>
      <c r="E31" s="7">
        <f t="shared" si="9"/>
        <v>6596</v>
      </c>
      <c r="F31" s="7">
        <f t="shared" si="9"/>
        <v>-80</v>
      </c>
      <c r="G31" s="7">
        <f t="shared" ref="G31:J31" si="10">+G17-G20-G23-G26-G28</f>
        <v>6474</v>
      </c>
      <c r="H31" s="7">
        <f t="shared" si="10"/>
        <v>8314</v>
      </c>
      <c r="I31" s="7">
        <f t="shared" si="10"/>
        <v>6724</v>
      </c>
      <c r="J31" s="7">
        <f t="shared" si="10"/>
        <v>2766</v>
      </c>
    </row>
    <row r="32" spans="1:24" x14ac:dyDescent="0.25">
      <c r="A32" s="29" t="s">
        <v>63</v>
      </c>
      <c r="B32" s="29"/>
      <c r="C32" s="30">
        <f>+'Actual - Summary IS by Qtr'!B18</f>
        <v>1321</v>
      </c>
      <c r="D32" s="30">
        <f>+'Actual - Summary IS by Qtr'!C18</f>
        <v>2194</v>
      </c>
      <c r="E32" s="30">
        <f>+'Actual - Summary IS by Qtr'!D18</f>
        <v>2527</v>
      </c>
      <c r="F32" s="30">
        <f>+'Actual - Summary IS by Qtr'!E18</f>
        <v>-299</v>
      </c>
      <c r="G32" s="30">
        <f>+'Actual - Summary IS by Qtr'!F18</f>
        <v>1942</v>
      </c>
      <c r="H32" s="30">
        <f>+'Actual - Summary IS by Qtr'!G18</f>
        <v>2534</v>
      </c>
      <c r="I32" s="30">
        <f>+'Actual - Summary IS by Qtr'!H18</f>
        <v>2125</v>
      </c>
      <c r="J32" s="30">
        <f>+'Actual - Summary IS by Qtr'!I18</f>
        <v>433</v>
      </c>
    </row>
    <row r="33" spans="1:10" x14ac:dyDescent="0.25">
      <c r="A33" t="s">
        <v>64</v>
      </c>
      <c r="C33" s="21">
        <f>+C32/C31</f>
        <v>0.28994732221246705</v>
      </c>
      <c r="D33" s="21">
        <f t="shared" ref="D33:F33" si="11">+D32/D31</f>
        <v>0.28994317430950178</v>
      </c>
      <c r="E33" s="21">
        <f t="shared" si="11"/>
        <v>0.38311097634930263</v>
      </c>
      <c r="F33" s="21">
        <f t="shared" si="11"/>
        <v>3.7374999999999998</v>
      </c>
      <c r="G33" s="21">
        <f t="shared" ref="G33:J33" si="12">+G32/G31</f>
        <v>0.29996910719802283</v>
      </c>
      <c r="H33" s="21">
        <f t="shared" si="12"/>
        <v>0.30478710608611981</v>
      </c>
      <c r="I33" s="21">
        <f t="shared" si="12"/>
        <v>0.31603212373587153</v>
      </c>
      <c r="J33" s="21">
        <f t="shared" si="12"/>
        <v>0.15654374548083877</v>
      </c>
    </row>
    <row r="36" spans="1:10" x14ac:dyDescent="0.25">
      <c r="A36" s="55" t="s">
        <v>169</v>
      </c>
      <c r="B36" s="7">
        <f>+'Actual - Summary BS by Qtr'!B11</f>
        <v>1848</v>
      </c>
      <c r="C36" s="7">
        <f>+'Actual - Summary BS by Qtr'!C11</f>
        <v>1637</v>
      </c>
      <c r="D36" s="7">
        <f>+'Actual - Summary BS by Qtr'!D11</f>
        <v>1727</v>
      </c>
      <c r="E36" s="7">
        <f>+'Actual - Summary BS by Qtr'!E11</f>
        <v>1670</v>
      </c>
      <c r="F36" s="7">
        <f>+'Actual - Summary BS by Qtr'!F11</f>
        <v>2312</v>
      </c>
      <c r="G36" s="7">
        <f>+'Actual - Summary BS by Qtr'!G11</f>
        <v>2181</v>
      </c>
      <c r="H36" s="7">
        <f>+'Actual - Summary BS by Qtr'!H11</f>
        <v>2061</v>
      </c>
      <c r="I36" s="7">
        <f>+'Actual - Summary BS by Qtr'!I11</f>
        <v>1981</v>
      </c>
      <c r="J36" s="7">
        <f>+'Actual - Summary BS by Qtr'!J11</f>
        <v>2583</v>
      </c>
    </row>
    <row r="37" spans="1:10" x14ac:dyDescent="0.25">
      <c r="A37" s="29" t="s">
        <v>56</v>
      </c>
      <c r="B37" s="29"/>
      <c r="C37" s="31">
        <f>+C36/C17</f>
        <v>2.4495353813464214E-2</v>
      </c>
      <c r="D37" s="31">
        <f t="shared" ref="D37:J37" si="13">+D36/D17</f>
        <v>2.2916058491016692E-2</v>
      </c>
      <c r="E37" s="31">
        <f t="shared" si="13"/>
        <v>2.2595048031389529E-2</v>
      </c>
      <c r="F37" s="31">
        <f t="shared" si="13"/>
        <v>3.2581277039500568E-2</v>
      </c>
      <c r="G37" s="31">
        <f t="shared" si="13"/>
        <v>2.7942193865785225E-2</v>
      </c>
      <c r="H37" s="31">
        <f t="shared" si="13"/>
        <v>2.3444698495034638E-2</v>
      </c>
      <c r="I37" s="31">
        <f t="shared" si="13"/>
        <v>2.3143334462656401E-2</v>
      </c>
      <c r="J37" s="31">
        <f t="shared" si="13"/>
        <v>3.2674281810936963E-2</v>
      </c>
    </row>
    <row r="39" spans="1:10" x14ac:dyDescent="0.25">
      <c r="A39" s="55" t="s">
        <v>168</v>
      </c>
      <c r="C39" s="7">
        <f>+'Actual - Summary BS by Qtr'!B12</f>
        <v>7251</v>
      </c>
      <c r="D39" s="7">
        <f>+'Actual - Summary BS by Qtr'!C12</f>
        <v>4382</v>
      </c>
      <c r="E39" s="7">
        <f>+'Actual - Summary BS by Qtr'!D12</f>
        <v>5741</v>
      </c>
      <c r="F39" s="7">
        <f>+'Actual - Summary BS by Qtr'!E12</f>
        <v>4918</v>
      </c>
      <c r="G39" s="7">
        <f>+'Actual - Summary BS by Qtr'!F12</f>
        <v>6382</v>
      </c>
      <c r="H39" s="7">
        <f>+'Actual - Summary BS by Qtr'!G12</f>
        <v>7682</v>
      </c>
      <c r="I39" s="7">
        <f>+'Actual - Summary BS by Qtr'!H12</f>
        <v>9306</v>
      </c>
      <c r="J39" s="7">
        <f>+'Actual - Summary BS by Qtr'!I12</f>
        <v>11982</v>
      </c>
    </row>
    <row r="40" spans="1:10" x14ac:dyDescent="0.25">
      <c r="A40" s="29" t="s">
        <v>56</v>
      </c>
      <c r="B40" s="29"/>
      <c r="C40" s="31">
        <f>+C39/C17</f>
        <v>0.10850080055065915</v>
      </c>
      <c r="D40" s="31">
        <f t="shared" ref="D40:J40" si="14">+D39/D17</f>
        <v>5.814601523314137E-2</v>
      </c>
      <c r="E40" s="31">
        <f t="shared" si="14"/>
        <v>7.76755513462319E-2</v>
      </c>
      <c r="F40" s="31">
        <f t="shared" si="14"/>
        <v>6.9305674948210994E-2</v>
      </c>
      <c r="G40" s="31">
        <f t="shared" si="14"/>
        <v>8.176390703871679E-2</v>
      </c>
      <c r="H40" s="31">
        <f t="shared" si="14"/>
        <v>8.7385819426907374E-2</v>
      </c>
      <c r="I40" s="31">
        <f t="shared" si="14"/>
        <v>0.10871876350806688</v>
      </c>
      <c r="J40" s="31">
        <f t="shared" si="14"/>
        <v>0.15156920040985161</v>
      </c>
    </row>
    <row r="42" spans="1:10" x14ac:dyDescent="0.25">
      <c r="A42" s="55" t="s">
        <v>93</v>
      </c>
      <c r="B42" s="7">
        <f>+'Actual - Summary BS by Qtr'!B15</f>
        <v>118807</v>
      </c>
      <c r="C42" s="7">
        <f>+'Actual - Summary BS by Qtr'!C15</f>
        <v>122199</v>
      </c>
      <c r="D42" s="7">
        <f>+'Actual - Summary BS by Qtr'!D15</f>
        <v>125003</v>
      </c>
      <c r="E42" s="7">
        <f>+'Actual - Summary BS by Qtr'!E15</f>
        <v>130236</v>
      </c>
      <c r="F42" s="7">
        <f>+'Actual - Summary BS by Qtr'!F15</f>
        <v>136493</v>
      </c>
      <c r="G42" s="7">
        <f>+'Actual - Summary BS by Qtr'!G15</f>
        <v>144054</v>
      </c>
      <c r="H42" s="7">
        <f>+'Actual - Summary BS by Qtr'!H15</f>
        <v>152472</v>
      </c>
      <c r="I42" s="7">
        <f>+'Actual - Summary BS by Qtr'!I15</f>
        <v>159036</v>
      </c>
      <c r="J42" s="7">
        <f>+'Actual - Summary BS by Qtr'!J15</f>
        <v>165150</v>
      </c>
    </row>
    <row r="43" spans="1:10" x14ac:dyDescent="0.25">
      <c r="A43" t="s">
        <v>154</v>
      </c>
      <c r="C43" s="7">
        <f>+B42-C42-C28</f>
        <v>-6437</v>
      </c>
      <c r="D43" s="7">
        <f t="shared" ref="D43:J43" si="15">+C42-D42-D28</f>
        <v>-6028</v>
      </c>
      <c r="E43" s="7">
        <f t="shared" si="15"/>
        <v>-8479</v>
      </c>
      <c r="F43" s="7">
        <f t="shared" si="15"/>
        <v>-9679</v>
      </c>
      <c r="G43" s="7">
        <f t="shared" si="15"/>
        <v>-11053</v>
      </c>
      <c r="H43" s="7">
        <f t="shared" si="15"/>
        <v>-12141</v>
      </c>
      <c r="I43" s="7">
        <f t="shared" si="15"/>
        <v>-10401</v>
      </c>
      <c r="J43" s="7">
        <f t="shared" si="15"/>
        <v>-10206</v>
      </c>
    </row>
    <row r="44" spans="1:10" x14ac:dyDescent="0.25">
      <c r="A44" s="29" t="s">
        <v>173</v>
      </c>
      <c r="B44" s="29"/>
      <c r="C44" s="30">
        <f t="shared" ref="C44:J44" si="16">-C43/(C11-B11)</f>
        <v>2145.6666666666665</v>
      </c>
      <c r="D44" s="30">
        <f t="shared" si="16"/>
        <v>6028</v>
      </c>
      <c r="E44" s="30">
        <f t="shared" si="16"/>
        <v>4239.5</v>
      </c>
      <c r="F44" s="30">
        <f t="shared" si="16"/>
        <v>2419.75</v>
      </c>
      <c r="G44" s="30">
        <f t="shared" si="16"/>
        <v>5526.5</v>
      </c>
      <c r="H44" s="30">
        <f t="shared" si="16"/>
        <v>3035.25</v>
      </c>
      <c r="I44" s="30">
        <f t="shared" si="16"/>
        <v>5200.5</v>
      </c>
      <c r="J44" s="30">
        <f t="shared" si="16"/>
        <v>3402</v>
      </c>
    </row>
    <row r="45" spans="1:10" x14ac:dyDescent="0.25">
      <c r="A45" t="s">
        <v>174</v>
      </c>
      <c r="C45" s="7">
        <f t="shared" ref="C45:J45" si="17">-C43/C11</f>
        <v>103.8225806451613</v>
      </c>
      <c r="D45" s="7">
        <f t="shared" si="17"/>
        <v>95.682539682539684</v>
      </c>
      <c r="E45" s="7">
        <f t="shared" si="17"/>
        <v>130.44615384615383</v>
      </c>
      <c r="F45" s="7">
        <f t="shared" si="17"/>
        <v>140.27536231884059</v>
      </c>
      <c r="G45" s="7">
        <f t="shared" si="17"/>
        <v>155.67605633802816</v>
      </c>
      <c r="H45" s="7">
        <f t="shared" si="17"/>
        <v>161.88</v>
      </c>
      <c r="I45" s="7">
        <f t="shared" si="17"/>
        <v>135.07792207792207</v>
      </c>
      <c r="J45" s="7">
        <f t="shared" si="17"/>
        <v>127.575</v>
      </c>
    </row>
    <row r="47" spans="1:10" x14ac:dyDescent="0.25">
      <c r="A47" s="55" t="s">
        <v>153</v>
      </c>
      <c r="B47" s="97">
        <f>+'Actual - Summary BS by Qtr'!B22</f>
        <v>17968</v>
      </c>
      <c r="C47" s="97">
        <f>+'Actual - Summary BS by Qtr'!C22</f>
        <v>16544</v>
      </c>
      <c r="D47" s="97">
        <f>+'Actual - Summary BS by Qtr'!D22</f>
        <v>21780</v>
      </c>
      <c r="E47" s="97">
        <f>+'Actual - Summary BS by Qtr'!E22</f>
        <v>21795</v>
      </c>
      <c r="F47" s="97">
        <f>+'Actual - Summary BS by Qtr'!F22</f>
        <v>25008</v>
      </c>
      <c r="G47" s="97">
        <f>+'Actual - Summary BS by Qtr'!G22</f>
        <v>21284</v>
      </c>
      <c r="H47" s="97">
        <f>+'Actual - Summary BS by Qtr'!H22</f>
        <v>29949</v>
      </c>
      <c r="I47" s="97">
        <f>+'Actual - Summary BS by Qtr'!I22</f>
        <v>26396</v>
      </c>
      <c r="J47" s="97">
        <f>+'Actual - Summary BS by Qtr'!J22</f>
        <v>28106</v>
      </c>
    </row>
    <row r="48" spans="1:10" x14ac:dyDescent="0.25">
      <c r="A48" s="29" t="s">
        <v>56</v>
      </c>
      <c r="B48" s="29"/>
      <c r="C48" s="31">
        <f>+C47/C17</f>
        <v>0.24755719822232863</v>
      </c>
      <c r="D48" s="31">
        <f t="shared" ref="D48:J48" si="18">+D47/D17</f>
        <v>0.28900506886759908</v>
      </c>
      <c r="E48" s="31">
        <f t="shared" si="18"/>
        <v>0.29488567176295494</v>
      </c>
      <c r="F48" s="31">
        <f t="shared" si="18"/>
        <v>0.35241893434421723</v>
      </c>
      <c r="G48" s="31">
        <f t="shared" si="18"/>
        <v>0.27268301432341713</v>
      </c>
      <c r="H48" s="31">
        <f t="shared" si="18"/>
        <v>0.34068184144968094</v>
      </c>
      <c r="I48" s="31">
        <f t="shared" si="18"/>
        <v>0.30837529352664228</v>
      </c>
      <c r="J48" s="31">
        <f t="shared" si="18"/>
        <v>0.35553362933728005</v>
      </c>
    </row>
    <row r="49" spans="1:10" x14ac:dyDescent="0.25">
      <c r="A49" t="s">
        <v>175</v>
      </c>
    </row>
    <row r="51" spans="1:10" x14ac:dyDescent="0.25">
      <c r="A51" s="55" t="s">
        <v>171</v>
      </c>
      <c r="B51" s="7">
        <f>+'Actual - Summary BS by Qtr'!B24</f>
        <v>34306</v>
      </c>
      <c r="C51" s="7">
        <f>+'Actual - Summary BS by Qtr'!C24</f>
        <v>35684</v>
      </c>
      <c r="D51" s="7">
        <f>+'Actual - Summary BS by Qtr'!D24</f>
        <v>38201</v>
      </c>
      <c r="E51" s="7">
        <f>+'Actual - Summary BS by Qtr'!E24</f>
        <v>41060</v>
      </c>
      <c r="F51" s="7">
        <f>+'Actual - Summary BS by Qtr'!F24</f>
        <v>43383</v>
      </c>
      <c r="G51" s="7">
        <f>+'Actual - Summary BS by Qtr'!G24</f>
        <v>47196</v>
      </c>
      <c r="H51" s="7">
        <f>+'Actual - Summary BS by Qtr'!H24</f>
        <v>47663</v>
      </c>
      <c r="I51" s="7">
        <f>+'Actual - Summary BS by Qtr'!I24</f>
        <v>54490</v>
      </c>
      <c r="J51" s="7">
        <f>+'Actual - Summary BS by Qtr'!J24</f>
        <v>55557</v>
      </c>
    </row>
    <row r="52" spans="1:10" x14ac:dyDescent="0.25">
      <c r="A52" s="29" t="s">
        <v>56</v>
      </c>
      <c r="B52" s="29"/>
      <c r="C52" s="31">
        <f>+C51/C17</f>
        <v>0.53395980786784181</v>
      </c>
      <c r="D52" s="31">
        <f t="shared" ref="D52:J52" si="19">+D51/D17</f>
        <v>0.50690002919243116</v>
      </c>
      <c r="E52" s="31">
        <f t="shared" si="19"/>
        <v>0.55554052225679884</v>
      </c>
      <c r="F52" s="31">
        <f t="shared" si="19"/>
        <v>0.61136398866983277</v>
      </c>
      <c r="G52" s="31">
        <f t="shared" si="19"/>
        <v>0.60465831347528631</v>
      </c>
      <c r="H52" s="31">
        <f t="shared" si="19"/>
        <v>0.54218566927163314</v>
      </c>
      <c r="I52" s="31">
        <f t="shared" si="19"/>
        <v>0.63658773087841869</v>
      </c>
      <c r="J52" s="31">
        <f t="shared" si="19"/>
        <v>0.70278167811468251</v>
      </c>
    </row>
    <row r="54" spans="1:10" x14ac:dyDescent="0.25">
      <c r="A54" s="98" t="s">
        <v>155</v>
      </c>
      <c r="B54" s="30">
        <f>+'Actual - Summary BS by Qtr'!B25</f>
        <v>8750</v>
      </c>
      <c r="C54" s="30">
        <f>+'Actual - Summary BS by Qtr'!C25</f>
        <v>8500</v>
      </c>
      <c r="D54" s="30">
        <f>+'Actual - Summary BS by Qtr'!D25</f>
        <v>0</v>
      </c>
      <c r="E54" s="30">
        <f>+'Actual - Summary BS by Qtr'!E25</f>
        <v>0</v>
      </c>
      <c r="F54" s="30">
        <f>+'Actual - Summary BS by Qtr'!F25</f>
        <v>0</v>
      </c>
      <c r="G54" s="30">
        <f>+'Actual - Summary BS by Qtr'!G25</f>
        <v>0</v>
      </c>
      <c r="H54" s="30">
        <f>+'Actual - Summary BS by Qtr'!H25</f>
        <v>0</v>
      </c>
      <c r="I54" s="30">
        <f>+'Actual - Summary BS by Qtr'!I25</f>
        <v>0</v>
      </c>
      <c r="J54" s="30">
        <f>+'Actual - Summary BS by Qtr'!J25</f>
        <v>0</v>
      </c>
    </row>
    <row r="59" spans="1:10" x14ac:dyDescent="0.25">
      <c r="A59" t="s">
        <v>19</v>
      </c>
      <c r="C59" s="7">
        <f t="shared" ref="C59:J59" si="20">+C31-C32</f>
        <v>3235</v>
      </c>
      <c r="D59" s="7">
        <f t="shared" si="20"/>
        <v>5373</v>
      </c>
      <c r="E59" s="7">
        <f t="shared" si="20"/>
        <v>4069</v>
      </c>
      <c r="F59" s="7">
        <f t="shared" si="20"/>
        <v>219</v>
      </c>
      <c r="G59" s="7">
        <f t="shared" si="20"/>
        <v>4532</v>
      </c>
      <c r="H59" s="7">
        <f t="shared" si="20"/>
        <v>5780</v>
      </c>
      <c r="I59" s="7">
        <f t="shared" si="20"/>
        <v>4599</v>
      </c>
      <c r="J59" s="7">
        <f t="shared" si="20"/>
        <v>2333</v>
      </c>
    </row>
    <row r="60" spans="1:10" x14ac:dyDescent="0.25">
      <c r="A60" t="s">
        <v>56</v>
      </c>
      <c r="C60" s="21">
        <f t="shared" ref="C60:J60" si="21">+C59/C17</f>
        <v>4.8407128641757322E-2</v>
      </c>
      <c r="D60" s="21">
        <f t="shared" si="21"/>
        <v>7.1295878559486214E-2</v>
      </c>
      <c r="E60" s="21">
        <f t="shared" si="21"/>
        <v>5.5053443377080236E-2</v>
      </c>
      <c r="F60" s="21">
        <f t="shared" si="21"/>
        <v>3.0862022801257027E-3</v>
      </c>
      <c r="G60" s="21">
        <f t="shared" si="21"/>
        <v>5.8062367079201579E-2</v>
      </c>
      <c r="H60" s="21">
        <f t="shared" si="21"/>
        <v>6.5749809462057357E-2</v>
      </c>
      <c r="I60" s="21">
        <f t="shared" si="21"/>
        <v>5.372851852284543E-2</v>
      </c>
      <c r="J60" s="21">
        <f t="shared" si="21"/>
        <v>2.951184648273943E-2</v>
      </c>
    </row>
    <row r="62" spans="1:10" x14ac:dyDescent="0.25">
      <c r="A62" t="s">
        <v>183</v>
      </c>
      <c r="B62" s="97">
        <f>+'Actual - Summary BS by Qtr'!B10</f>
        <v>3815</v>
      </c>
      <c r="C62" s="97">
        <f>+'Actual - Summary BS by Qtr'!C10</f>
        <v>6779</v>
      </c>
      <c r="D62" s="97">
        <f>+'Actual - Summary BS by Qtr'!D10</f>
        <v>7634</v>
      </c>
      <c r="E62" s="97">
        <f>+'Actual - Summary BS by Qtr'!E10</f>
        <v>10598</v>
      </c>
      <c r="F62" s="97">
        <f>+'Actual - Summary BS by Qtr'!F10</f>
        <v>8529</v>
      </c>
      <c r="G62" s="97">
        <f>+'Actual - Summary BS by Qtr'!G10</f>
        <v>4824</v>
      </c>
      <c r="H62" s="97">
        <f>+'Actual - Summary BS by Qtr'!H10</f>
        <v>13769</v>
      </c>
      <c r="I62" s="97">
        <f>+'Actual - Summary BS by Qtr'!I10</f>
        <v>13944</v>
      </c>
      <c r="J62" s="97">
        <f>+'Actual - Summary BS by Qtr'!J10</f>
        <v>13694</v>
      </c>
    </row>
    <row r="81" spans="1:10" x14ac:dyDescent="0.25">
      <c r="F81" s="9" t="s">
        <v>55</v>
      </c>
      <c r="J81" s="9" t="s">
        <v>55</v>
      </c>
    </row>
    <row r="82" spans="1:10" x14ac:dyDescent="0.25">
      <c r="F82" s="11" t="s">
        <v>34</v>
      </c>
      <c r="J82" s="11" t="s">
        <v>39</v>
      </c>
    </row>
    <row r="83" spans="1:10" x14ac:dyDescent="0.25">
      <c r="A83" t="s">
        <v>52</v>
      </c>
      <c r="F83" s="7">
        <f>SUM(C17:F17)</f>
        <v>287062</v>
      </c>
      <c r="J83" s="7">
        <f>SUM(G17:J17)</f>
        <v>330613</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6"/>
  <sheetViews>
    <sheetView workbookViewId="0">
      <selection activeCell="K28" sqref="K28"/>
    </sheetView>
  </sheetViews>
  <sheetFormatPr defaultRowHeight="15" x14ac:dyDescent="0.25"/>
  <cols>
    <col min="1" max="1" width="41.5703125" customWidth="1"/>
    <col min="2" max="2" width="10.140625" bestFit="1" customWidth="1"/>
    <col min="3" max="3" width="11.140625" bestFit="1" customWidth="1"/>
    <col min="7" max="7" width="40.140625" customWidth="1"/>
    <col min="8" max="8" width="9.85546875" customWidth="1"/>
  </cols>
  <sheetData>
    <row r="3" spans="1:8" x14ac:dyDescent="0.25">
      <c r="A3" t="s">
        <v>158</v>
      </c>
    </row>
    <row r="4" spans="1:8" x14ac:dyDescent="0.25">
      <c r="A4" t="s">
        <v>159</v>
      </c>
    </row>
    <row r="6" spans="1:8" x14ac:dyDescent="0.25">
      <c r="B6" s="48" t="s">
        <v>65</v>
      </c>
      <c r="C6" s="48" t="s">
        <v>65</v>
      </c>
      <c r="G6" s="112" t="s">
        <v>158</v>
      </c>
      <c r="H6" s="48" t="s">
        <v>65</v>
      </c>
    </row>
    <row r="7" spans="1:8" x14ac:dyDescent="0.25">
      <c r="B7" s="50" t="s">
        <v>161</v>
      </c>
      <c r="C7" s="50" t="s">
        <v>161</v>
      </c>
      <c r="G7" s="112" t="s">
        <v>223</v>
      </c>
      <c r="H7" s="50" t="s">
        <v>161</v>
      </c>
    </row>
    <row r="8" spans="1:8" x14ac:dyDescent="0.25">
      <c r="B8" s="51" t="s">
        <v>34</v>
      </c>
      <c r="C8" s="51" t="s">
        <v>39</v>
      </c>
      <c r="H8" s="51" t="s">
        <v>39</v>
      </c>
    </row>
    <row r="10" spans="1:8" x14ac:dyDescent="0.25">
      <c r="A10" t="s">
        <v>152</v>
      </c>
      <c r="B10" s="106">
        <f>+'CF by Qtr'!B48</f>
        <v>3815</v>
      </c>
      <c r="C10" s="106">
        <f>+B22</f>
        <v>8529</v>
      </c>
      <c r="D10" s="7"/>
      <c r="E10" s="7"/>
      <c r="F10" s="7"/>
      <c r="G10" t="s">
        <v>152</v>
      </c>
      <c r="H10" s="106">
        <f>+C10</f>
        <v>8529</v>
      </c>
    </row>
    <row r="11" spans="1:8" x14ac:dyDescent="0.25">
      <c r="B11" s="7"/>
      <c r="C11" s="7"/>
      <c r="D11" s="7"/>
      <c r="E11" s="7"/>
      <c r="F11" s="7"/>
      <c r="H11" s="7"/>
    </row>
    <row r="12" spans="1:8" x14ac:dyDescent="0.25">
      <c r="A12" t="s">
        <v>19</v>
      </c>
      <c r="B12" s="7">
        <f>+'Actual - Summary CF by Qtr'!M10</f>
        <v>12896</v>
      </c>
      <c r="C12" s="7">
        <f>+'Actual - Summary CF by Qtr'!N10</f>
        <v>17244</v>
      </c>
      <c r="D12" s="7"/>
      <c r="E12" s="7"/>
      <c r="F12" s="7"/>
      <c r="G12" t="s">
        <v>19</v>
      </c>
      <c r="H12" s="7">
        <f>+C12</f>
        <v>17244</v>
      </c>
    </row>
    <row r="13" spans="1:8" x14ac:dyDescent="0.25">
      <c r="A13" t="s">
        <v>13</v>
      </c>
      <c r="B13" s="80">
        <f>+'Actual - Summary CF by Qtr'!M11</f>
        <v>12827</v>
      </c>
      <c r="C13" s="80">
        <f>+'Actual - Summary CF by Qtr'!N11</f>
        <v>15081</v>
      </c>
      <c r="D13" s="7"/>
      <c r="E13" s="7"/>
      <c r="F13" s="7"/>
      <c r="G13" t="s">
        <v>13</v>
      </c>
      <c r="H13" s="7">
        <f t="shared" ref="H13:H16" si="0">+C13</f>
        <v>15081</v>
      </c>
    </row>
    <row r="14" spans="1:8" x14ac:dyDescent="0.25">
      <c r="A14" t="s">
        <v>153</v>
      </c>
      <c r="B14" s="80">
        <f>+'Actual - Summary CF by Qtr'!M15</f>
        <v>4459</v>
      </c>
      <c r="C14" s="80">
        <f>+'Actual - Summary CF by Qtr'!N15</f>
        <v>4504</v>
      </c>
      <c r="D14" s="7"/>
      <c r="E14" s="7"/>
      <c r="F14" s="7"/>
      <c r="G14" t="s">
        <v>153</v>
      </c>
      <c r="H14" s="7">
        <f t="shared" si="0"/>
        <v>4504</v>
      </c>
    </row>
    <row r="15" spans="1:8" x14ac:dyDescent="0.25">
      <c r="A15" s="55" t="s">
        <v>177</v>
      </c>
      <c r="B15" s="80">
        <f>+'Actual - Summary CF by Qtr'!M16</f>
        <v>7642</v>
      </c>
      <c r="C15" s="80">
        <f>+'Actual - Summary CF by Qtr'!N16</f>
        <v>8124</v>
      </c>
      <c r="D15" s="7"/>
      <c r="E15" s="7"/>
      <c r="F15" s="7"/>
      <c r="G15" s="55" t="s">
        <v>177</v>
      </c>
      <c r="H15" s="7">
        <f t="shared" si="0"/>
        <v>8124</v>
      </c>
    </row>
    <row r="16" spans="1:8" x14ac:dyDescent="0.25">
      <c r="A16" t="s">
        <v>154</v>
      </c>
      <c r="B16" s="80">
        <f>+'Actual - Summary CF by Qtr'!M23</f>
        <v>-32000</v>
      </c>
      <c r="C16" s="80">
        <f>+'Actual - Summary CF by Qtr'!N23</f>
        <v>-41885</v>
      </c>
      <c r="D16" s="7"/>
      <c r="E16" s="7"/>
      <c r="F16" s="7"/>
      <c r="G16" t="s">
        <v>154</v>
      </c>
      <c r="H16" s="7">
        <f t="shared" si="0"/>
        <v>-41885</v>
      </c>
    </row>
    <row r="17" spans="1:8" x14ac:dyDescent="0.25">
      <c r="A17" t="s">
        <v>155</v>
      </c>
      <c r="B17" s="80">
        <f>+'Actual - Summary CF by Qtr'!M25</f>
        <v>-8750</v>
      </c>
      <c r="C17" s="80">
        <f>+'Actual - Summary CF by Qtr'!N25</f>
        <v>0</v>
      </c>
      <c r="D17" s="7"/>
      <c r="E17" s="7"/>
      <c r="F17" s="7"/>
      <c r="G17" t="s">
        <v>191</v>
      </c>
      <c r="H17" s="64">
        <f>+H21-H10-SUM(H12:H16)</f>
        <v>2097</v>
      </c>
    </row>
    <row r="18" spans="1:8" x14ac:dyDescent="0.25">
      <c r="A18" t="s">
        <v>191</v>
      </c>
      <c r="B18" s="64">
        <f>+B22-B10-SUM(B12:B17)</f>
        <v>7640</v>
      </c>
      <c r="C18" s="64">
        <f>+C22-C10-SUM(C12:C17)</f>
        <v>2097</v>
      </c>
      <c r="D18" s="7"/>
      <c r="E18" s="7"/>
      <c r="F18" s="7"/>
      <c r="H18" s="7"/>
    </row>
    <row r="19" spans="1:8" x14ac:dyDescent="0.25">
      <c r="B19" s="7"/>
      <c r="C19" s="7"/>
      <c r="D19" s="7"/>
      <c r="E19" s="7"/>
      <c r="F19" s="7"/>
      <c r="G19" t="s">
        <v>157</v>
      </c>
      <c r="H19" s="7">
        <f>SUM(H12:H17)</f>
        <v>5165</v>
      </c>
    </row>
    <row r="20" spans="1:8" x14ac:dyDescent="0.25">
      <c r="A20" t="s">
        <v>157</v>
      </c>
      <c r="B20" s="7">
        <f>SUM(B12:B18)</f>
        <v>4714</v>
      </c>
      <c r="C20" s="7">
        <f>SUM(C12:C18)</f>
        <v>5165</v>
      </c>
      <c r="D20" s="7"/>
      <c r="E20" s="7"/>
      <c r="F20" s="7"/>
      <c r="H20" s="7"/>
    </row>
    <row r="21" spans="1:8" ht="15.75" thickBot="1" x14ac:dyDescent="0.3">
      <c r="B21" s="7"/>
      <c r="C21" s="7"/>
      <c r="D21" s="7"/>
      <c r="E21" s="7"/>
      <c r="F21" s="7"/>
      <c r="G21" t="s">
        <v>156</v>
      </c>
      <c r="H21" s="102">
        <f>+C22</f>
        <v>13694</v>
      </c>
    </row>
    <row r="22" spans="1:8" ht="16.5" thickTop="1" thickBot="1" x14ac:dyDescent="0.3">
      <c r="A22" t="s">
        <v>156</v>
      </c>
      <c r="B22" s="102">
        <f>+'Actual - Summary CF by Qtr'!M32</f>
        <v>8529</v>
      </c>
      <c r="C22" s="102">
        <f>+'Actual - Summary CF by Qtr'!N32</f>
        <v>13694</v>
      </c>
      <c r="D22" s="7"/>
      <c r="E22" s="7"/>
      <c r="F22" s="7"/>
    </row>
    <row r="23" spans="1:8" ht="15.75" thickTop="1" x14ac:dyDescent="0.25">
      <c r="B23" s="7"/>
      <c r="C23" s="7"/>
      <c r="D23" s="7"/>
      <c r="E23" s="7"/>
      <c r="F23" s="7"/>
      <c r="G23" s="7"/>
    </row>
    <row r="24" spans="1:8" x14ac:dyDescent="0.25">
      <c r="B24" s="7"/>
      <c r="C24" s="7"/>
      <c r="D24" s="7"/>
      <c r="E24" s="7"/>
      <c r="F24" s="7"/>
      <c r="G24" s="7"/>
    </row>
    <row r="25" spans="1:8" x14ac:dyDescent="0.25">
      <c r="A25" t="s">
        <v>32</v>
      </c>
      <c r="B25" s="7">
        <f>+'CF Summary by Qtr'!E22</f>
        <v>8529</v>
      </c>
      <c r="C25" s="7">
        <f>+'CF Summary by Qtr'!I22</f>
        <v>13694</v>
      </c>
      <c r="D25" s="7"/>
      <c r="E25" s="7"/>
      <c r="F25" s="7"/>
      <c r="G25" s="7"/>
    </row>
    <row r="26" spans="1:8" x14ac:dyDescent="0.25">
      <c r="B26" s="7"/>
      <c r="C26" s="7"/>
      <c r="D26" s="7"/>
      <c r="E26" s="7"/>
      <c r="F26" s="7"/>
      <c r="G26" s="7"/>
    </row>
    <row r="27" spans="1:8" x14ac:dyDescent="0.25">
      <c r="B27" s="7"/>
      <c r="C27" s="7"/>
      <c r="D27" s="7"/>
      <c r="E27" s="7"/>
      <c r="F27" s="7"/>
      <c r="G27" s="7"/>
    </row>
    <row r="28" spans="1:8" x14ac:dyDescent="0.25">
      <c r="B28" s="7"/>
      <c r="C28" s="7"/>
      <c r="D28" s="7"/>
      <c r="E28" s="7"/>
      <c r="F28" s="7"/>
      <c r="G28" s="7"/>
    </row>
    <row r="29" spans="1:8" x14ac:dyDescent="0.25">
      <c r="B29" s="7"/>
      <c r="C29" s="7"/>
      <c r="D29" s="7"/>
      <c r="E29" s="7"/>
      <c r="F29" s="7"/>
      <c r="G29" s="7"/>
    </row>
    <row r="30" spans="1:8" x14ac:dyDescent="0.25">
      <c r="B30" s="7"/>
      <c r="C30" s="7"/>
      <c r="D30" s="7"/>
      <c r="E30" s="7"/>
      <c r="F30" s="7"/>
      <c r="G30" s="7"/>
    </row>
    <row r="31" spans="1:8" x14ac:dyDescent="0.25">
      <c r="B31" s="7"/>
      <c r="C31" s="7"/>
      <c r="D31" s="7"/>
      <c r="E31" s="7"/>
      <c r="F31" s="7"/>
      <c r="G31" s="7"/>
    </row>
    <row r="32" spans="1:8" x14ac:dyDescent="0.25">
      <c r="B32" s="7"/>
      <c r="C32" s="7"/>
      <c r="D32" s="7"/>
      <c r="E32" s="7"/>
      <c r="F32" s="7"/>
      <c r="G32" s="7"/>
    </row>
    <row r="33" spans="2:7" x14ac:dyDescent="0.25">
      <c r="B33" s="7"/>
      <c r="C33" s="7"/>
      <c r="D33" s="7"/>
      <c r="E33" s="7"/>
      <c r="F33" s="7"/>
      <c r="G33" s="7"/>
    </row>
    <row r="34" spans="2:7" x14ac:dyDescent="0.25">
      <c r="B34" s="7"/>
      <c r="C34" s="7"/>
      <c r="D34" s="7"/>
      <c r="E34" s="7"/>
      <c r="F34" s="7"/>
      <c r="G34" s="7"/>
    </row>
    <row r="35" spans="2:7" x14ac:dyDescent="0.25">
      <c r="B35" s="7"/>
      <c r="C35" s="7"/>
      <c r="D35" s="7"/>
      <c r="E35" s="7"/>
      <c r="F35" s="7"/>
      <c r="G35" s="7"/>
    </row>
    <row r="36" spans="2:7" x14ac:dyDescent="0.25">
      <c r="B36" s="7"/>
      <c r="C36" s="7"/>
      <c r="D36" s="7"/>
      <c r="E36" s="7"/>
      <c r="F36" s="7"/>
      <c r="G36" s="7"/>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36"/>
  <sheetViews>
    <sheetView workbookViewId="0">
      <selection activeCell="J17" sqref="J17"/>
    </sheetView>
  </sheetViews>
  <sheetFormatPr defaultRowHeight="15" x14ac:dyDescent="0.25"/>
  <cols>
    <col min="1" max="1" width="36.42578125" customWidth="1"/>
  </cols>
  <sheetData>
    <row r="3" spans="1:13" x14ac:dyDescent="0.25">
      <c r="A3" t="s">
        <v>158</v>
      </c>
    </row>
    <row r="4" spans="1:13" x14ac:dyDescent="0.25">
      <c r="A4" t="s">
        <v>159</v>
      </c>
    </row>
    <row r="6" spans="1:13" x14ac:dyDescent="0.25">
      <c r="B6" s="48" t="s">
        <v>65</v>
      </c>
      <c r="C6" s="48" t="s">
        <v>65</v>
      </c>
      <c r="D6" s="48" t="s">
        <v>65</v>
      </c>
      <c r="E6" s="48" t="s">
        <v>65</v>
      </c>
      <c r="F6" s="48" t="s">
        <v>65</v>
      </c>
      <c r="G6" s="48" t="s">
        <v>65</v>
      </c>
      <c r="H6" s="48" t="s">
        <v>65</v>
      </c>
      <c r="I6" s="48" t="s">
        <v>65</v>
      </c>
      <c r="J6" s="48" t="s">
        <v>65</v>
      </c>
    </row>
    <row r="7" spans="1:13" x14ac:dyDescent="0.25">
      <c r="B7" s="50" t="s">
        <v>36</v>
      </c>
      <c r="C7" s="50" t="s">
        <v>37</v>
      </c>
      <c r="D7" s="50" t="s">
        <v>38</v>
      </c>
      <c r="E7" s="49" t="s">
        <v>33</v>
      </c>
      <c r="F7" s="50" t="s">
        <v>36</v>
      </c>
      <c r="G7" s="50" t="s">
        <v>37</v>
      </c>
      <c r="H7" s="50" t="s">
        <v>38</v>
      </c>
      <c r="I7" s="49" t="s">
        <v>33</v>
      </c>
      <c r="J7" s="50" t="s">
        <v>36</v>
      </c>
    </row>
    <row r="8" spans="1:13" x14ac:dyDescent="0.25">
      <c r="B8" s="51" t="s">
        <v>34</v>
      </c>
      <c r="C8" s="51" t="s">
        <v>34</v>
      </c>
      <c r="D8" s="51" t="s">
        <v>34</v>
      </c>
      <c r="E8" s="51" t="s">
        <v>34</v>
      </c>
      <c r="F8" s="51" t="s">
        <v>39</v>
      </c>
      <c r="G8" s="51" t="s">
        <v>39</v>
      </c>
      <c r="H8" s="51" t="s">
        <v>39</v>
      </c>
      <c r="I8" s="51" t="s">
        <v>39</v>
      </c>
      <c r="J8" s="51" t="s">
        <v>50</v>
      </c>
    </row>
    <row r="10" spans="1:13" x14ac:dyDescent="0.25">
      <c r="A10" t="s">
        <v>152</v>
      </c>
      <c r="B10" s="7">
        <f>+'CF by Qtr'!B48</f>
        <v>3815</v>
      </c>
      <c r="C10" s="7">
        <f>+'CF by Qtr'!C48</f>
        <v>6779</v>
      </c>
      <c r="D10" s="7">
        <f>+'CF by Qtr'!D48</f>
        <v>7634</v>
      </c>
      <c r="E10" s="7">
        <f>+'CF by Qtr'!E48</f>
        <v>10598</v>
      </c>
      <c r="F10" s="7">
        <f>+'CF by Qtr'!F48</f>
        <v>8529</v>
      </c>
      <c r="G10" s="7">
        <f>+'CF by Qtr'!G48</f>
        <v>4824</v>
      </c>
      <c r="H10" s="7">
        <f>+'CF by Qtr'!H48</f>
        <v>13769</v>
      </c>
      <c r="I10" s="7">
        <f>+'CF by Qtr'!I48</f>
        <v>13944</v>
      </c>
      <c r="J10" s="7">
        <f>+'CF by Qtr'!J48</f>
        <v>13694</v>
      </c>
      <c r="K10" s="7"/>
      <c r="L10" s="7"/>
      <c r="M10" s="7"/>
    </row>
    <row r="11" spans="1:13" x14ac:dyDescent="0.25">
      <c r="B11" s="7"/>
      <c r="C11" s="7"/>
      <c r="D11" s="7"/>
      <c r="E11" s="7"/>
      <c r="F11" s="7"/>
      <c r="G11" s="7"/>
      <c r="H11" s="7"/>
      <c r="I11" s="7"/>
      <c r="J11" s="7"/>
      <c r="K11" s="7"/>
      <c r="L11" s="7"/>
      <c r="M11" s="7"/>
    </row>
    <row r="12" spans="1:13" x14ac:dyDescent="0.25">
      <c r="A12" t="s">
        <v>19</v>
      </c>
      <c r="B12" s="7">
        <f>+'CF by Qtr'!B12</f>
        <v>3235</v>
      </c>
      <c r="C12" s="7">
        <f>+'CF by Qtr'!C12</f>
        <v>5373</v>
      </c>
      <c r="D12" s="7">
        <f>+'CF by Qtr'!D12</f>
        <v>4069</v>
      </c>
      <c r="E12" s="7">
        <f>+'CF by Qtr'!E12</f>
        <v>219</v>
      </c>
      <c r="F12" s="7">
        <f>+'CF by Qtr'!F12</f>
        <v>4532</v>
      </c>
      <c r="G12" s="7">
        <f>+'CF by Qtr'!G12</f>
        <v>5780</v>
      </c>
      <c r="H12" s="7">
        <f>+'CF by Qtr'!H12</f>
        <v>4599</v>
      </c>
      <c r="I12" s="7">
        <f>+'CF by Qtr'!I12</f>
        <v>2333</v>
      </c>
      <c r="J12" s="7">
        <f>+'CF by Qtr'!J12</f>
        <v>4550</v>
      </c>
      <c r="K12" s="7"/>
      <c r="L12" s="7"/>
      <c r="M12" s="7"/>
    </row>
    <row r="13" spans="1:13" x14ac:dyDescent="0.25">
      <c r="A13" t="s">
        <v>13</v>
      </c>
      <c r="B13" s="7">
        <f>+'CF by Qtr'!B15</f>
        <v>2998</v>
      </c>
      <c r="C13" s="7">
        <f>+'CF by Qtr'!C15</f>
        <v>3194</v>
      </c>
      <c r="D13" s="7">
        <f>+'CF by Qtr'!D15</f>
        <v>3230</v>
      </c>
      <c r="E13" s="7">
        <f>+'CF by Qtr'!E15</f>
        <v>3405</v>
      </c>
      <c r="F13" s="7">
        <f>+'CF by Qtr'!F15</f>
        <v>3477</v>
      </c>
      <c r="G13" s="7">
        <f>+'CF by Qtr'!G15</f>
        <v>3707</v>
      </c>
      <c r="H13" s="7">
        <f>+'CF by Qtr'!H15</f>
        <v>3821</v>
      </c>
      <c r="I13" s="7">
        <f>+'CF by Qtr'!I15</f>
        <v>4076</v>
      </c>
      <c r="J13" s="7">
        <f>+'CF by Qtr'!J15</f>
        <v>4161</v>
      </c>
      <c r="K13" s="7"/>
      <c r="L13" s="7"/>
      <c r="M13" s="7"/>
    </row>
    <row r="14" spans="1:13" x14ac:dyDescent="0.25">
      <c r="A14" t="s">
        <v>153</v>
      </c>
      <c r="B14" s="7">
        <f>+'CF by Qtr'!B28+'CF by Qtr'!B29</f>
        <v>-2152</v>
      </c>
      <c r="C14" s="7">
        <f>+'CF by Qtr'!C28+'CF by Qtr'!C29</f>
        <v>4640</v>
      </c>
      <c r="D14" s="7">
        <f>+'CF by Qtr'!D28+'CF by Qtr'!D29</f>
        <v>-400</v>
      </c>
      <c r="E14" s="7">
        <f>+'CF by Qtr'!E28+'CF by Qtr'!E29</f>
        <v>2371</v>
      </c>
      <c r="F14" s="7">
        <f>+'CF by Qtr'!F28+'CF by Qtr'!F29</f>
        <v>-4779</v>
      </c>
      <c r="G14" s="7">
        <f>+'CF by Qtr'!G28+'CF by Qtr'!G29</f>
        <v>11180</v>
      </c>
      <c r="H14" s="7">
        <f>+'CF by Qtr'!H28+'CF by Qtr'!H29</f>
        <v>-2706</v>
      </c>
      <c r="I14" s="7">
        <f>+'CF by Qtr'!I28+'CF by Qtr'!I29</f>
        <v>809</v>
      </c>
      <c r="J14" s="7">
        <f>+'CF by Qtr'!J28+'CF by Qtr'!J29</f>
        <v>-3242</v>
      </c>
      <c r="K14" s="7"/>
      <c r="L14" s="7"/>
      <c r="M14" s="7"/>
    </row>
    <row r="15" spans="1:13" x14ac:dyDescent="0.25">
      <c r="A15" t="s">
        <v>154</v>
      </c>
      <c r="B15" s="7">
        <f>+'CF by Qtr'!B36</f>
        <v>-5370</v>
      </c>
      <c r="C15" s="7">
        <f>+'CF by Qtr'!C36</f>
        <v>-5321</v>
      </c>
      <c r="D15" s="7">
        <f>+'CF by Qtr'!D36</f>
        <v>-7721</v>
      </c>
      <c r="E15" s="7">
        <f>+'CF by Qtr'!E36</f>
        <v>-13588</v>
      </c>
      <c r="F15" s="7">
        <f>+'CF by Qtr'!F36</f>
        <v>-8336</v>
      </c>
      <c r="G15" s="7">
        <f>+'CF by Qtr'!G36</f>
        <v>-11837</v>
      </c>
      <c r="H15" s="7">
        <f>+'CF by Qtr'!H36</f>
        <v>-11319</v>
      </c>
      <c r="I15" s="7">
        <f>+'CF by Qtr'!I36</f>
        <v>-10393</v>
      </c>
      <c r="J15" s="7">
        <f>+'CF by Qtr'!J36</f>
        <v>-7358</v>
      </c>
      <c r="K15" s="7"/>
      <c r="L15" s="7"/>
      <c r="M15" s="7"/>
    </row>
    <row r="16" spans="1:13" x14ac:dyDescent="0.25">
      <c r="A16" t="s">
        <v>155</v>
      </c>
      <c r="B16" s="7">
        <f>SUM('CF by Qtr'!B38:B39)</f>
        <v>-250</v>
      </c>
      <c r="C16" s="7">
        <f>SUM('CF by Qtr'!C38:C39)</f>
        <v>-8500</v>
      </c>
      <c r="D16" s="7">
        <f>SUM('CF by Qtr'!D38:D39)</f>
        <v>0</v>
      </c>
      <c r="E16" s="7">
        <f>SUM('CF by Qtr'!E38:E39)</f>
        <v>0</v>
      </c>
      <c r="F16" s="7">
        <f>SUM('CF by Qtr'!F38:F39)</f>
        <v>0</v>
      </c>
      <c r="G16" s="7">
        <f>SUM('CF by Qtr'!G38:G39)</f>
        <v>0</v>
      </c>
      <c r="H16" s="7">
        <f>SUM('CF by Qtr'!H38:H39)</f>
        <v>0</v>
      </c>
      <c r="I16" s="7">
        <f>SUM('CF by Qtr'!I38:I39)</f>
        <v>0</v>
      </c>
      <c r="J16" s="7">
        <f>SUM('CF by Qtr'!J38:J39)</f>
        <v>0</v>
      </c>
      <c r="K16" s="7"/>
      <c r="L16" s="7"/>
      <c r="M16" s="7"/>
    </row>
    <row r="17" spans="1:13" x14ac:dyDescent="0.25">
      <c r="B17" s="64">
        <f t="shared" ref="B17:I17" si="0">+B22-B10-SUM(B12:B16)</f>
        <v>4503</v>
      </c>
      <c r="C17" s="64">
        <f t="shared" si="0"/>
        <v>1469</v>
      </c>
      <c r="D17" s="64">
        <f t="shared" si="0"/>
        <v>3786</v>
      </c>
      <c r="E17" s="64">
        <f t="shared" si="0"/>
        <v>5524</v>
      </c>
      <c r="F17" s="64">
        <f t="shared" si="0"/>
        <v>1401</v>
      </c>
      <c r="G17" s="64">
        <f t="shared" si="0"/>
        <v>115</v>
      </c>
      <c r="H17" s="64">
        <f t="shared" si="0"/>
        <v>5780</v>
      </c>
      <c r="I17" s="64">
        <f t="shared" si="0"/>
        <v>2925</v>
      </c>
      <c r="J17" s="64">
        <f t="shared" ref="J17" si="1">+J22-J10-SUM(J12:J16)</f>
        <v>2377</v>
      </c>
      <c r="K17" s="7"/>
      <c r="L17" s="7"/>
      <c r="M17" s="7"/>
    </row>
    <row r="18" spans="1:13" x14ac:dyDescent="0.25">
      <c r="B18" s="7"/>
      <c r="C18" s="7"/>
      <c r="D18" s="7"/>
      <c r="E18" s="7"/>
      <c r="F18" s="7"/>
      <c r="G18" s="7"/>
      <c r="H18" s="7"/>
      <c r="I18" s="7"/>
      <c r="J18" s="7"/>
      <c r="K18" s="7"/>
      <c r="L18" s="7"/>
      <c r="M18" s="7"/>
    </row>
    <row r="19" spans="1:13" x14ac:dyDescent="0.25">
      <c r="A19" t="s">
        <v>157</v>
      </c>
      <c r="B19" s="7">
        <f t="shared" ref="B19:I19" si="2">SUM(B12:B17)</f>
        <v>2964</v>
      </c>
      <c r="C19" s="7">
        <f t="shared" si="2"/>
        <v>855</v>
      </c>
      <c r="D19" s="7">
        <f t="shared" si="2"/>
        <v>2964</v>
      </c>
      <c r="E19" s="7">
        <f t="shared" si="2"/>
        <v>-2069</v>
      </c>
      <c r="F19" s="7">
        <f t="shared" si="2"/>
        <v>-3705</v>
      </c>
      <c r="G19" s="7">
        <f t="shared" si="2"/>
        <v>8945</v>
      </c>
      <c r="H19" s="7">
        <f t="shared" si="2"/>
        <v>175</v>
      </c>
      <c r="I19" s="7">
        <f t="shared" si="2"/>
        <v>-250</v>
      </c>
      <c r="J19" s="7">
        <f t="shared" ref="J19" si="3">SUM(J12:J17)</f>
        <v>488</v>
      </c>
      <c r="K19" s="7"/>
      <c r="L19" s="7"/>
      <c r="M19" s="7"/>
    </row>
    <row r="20" spans="1:13" x14ac:dyDescent="0.25">
      <c r="B20" s="7"/>
      <c r="C20" s="7"/>
      <c r="D20" s="7"/>
      <c r="E20" s="7"/>
      <c r="F20" s="7"/>
      <c r="G20" s="7"/>
      <c r="H20" s="7"/>
      <c r="I20" s="7"/>
      <c r="J20" s="7"/>
      <c r="K20" s="7"/>
      <c r="L20" s="7"/>
      <c r="M20" s="7"/>
    </row>
    <row r="21" spans="1:13" x14ac:dyDescent="0.25">
      <c r="B21" s="7"/>
      <c r="C21" s="7"/>
      <c r="D21" s="7"/>
      <c r="E21" s="7"/>
      <c r="F21" s="7"/>
      <c r="G21" s="7"/>
      <c r="H21" s="7"/>
      <c r="I21" s="7"/>
      <c r="J21" s="7"/>
      <c r="K21" s="7"/>
      <c r="L21" s="7"/>
      <c r="M21" s="7"/>
    </row>
    <row r="22" spans="1:13" x14ac:dyDescent="0.25">
      <c r="A22" t="s">
        <v>156</v>
      </c>
      <c r="B22" s="7">
        <f>+'CF by Qtr'!B49</f>
        <v>6779</v>
      </c>
      <c r="C22" s="7">
        <f>+'CF by Qtr'!C49</f>
        <v>7634</v>
      </c>
      <c r="D22" s="7">
        <f>+'CF by Qtr'!D49</f>
        <v>10598</v>
      </c>
      <c r="E22" s="7">
        <f>+'CF by Qtr'!E49</f>
        <v>8529</v>
      </c>
      <c r="F22" s="7">
        <f>+'CF by Qtr'!F49</f>
        <v>4824</v>
      </c>
      <c r="G22" s="7">
        <f>+'CF by Qtr'!G49</f>
        <v>13769</v>
      </c>
      <c r="H22" s="7">
        <f>+'CF by Qtr'!H49</f>
        <v>13944</v>
      </c>
      <c r="I22" s="7">
        <f>+'CF by Qtr'!I49</f>
        <v>13694</v>
      </c>
      <c r="J22" s="7">
        <f>+'CF by Qtr'!J49</f>
        <v>14182</v>
      </c>
      <c r="K22" s="7"/>
      <c r="L22" s="7"/>
      <c r="M22" s="7"/>
    </row>
    <row r="23" spans="1:13" x14ac:dyDescent="0.25">
      <c r="B23" s="7"/>
      <c r="C23" s="7"/>
      <c r="D23" s="7"/>
      <c r="E23" s="7"/>
      <c r="F23" s="7"/>
      <c r="G23" s="7"/>
      <c r="H23" s="7"/>
      <c r="I23" s="7"/>
      <c r="J23" s="7"/>
      <c r="K23" s="7"/>
      <c r="L23" s="7"/>
      <c r="M23" s="7"/>
    </row>
    <row r="24" spans="1:13" x14ac:dyDescent="0.25">
      <c r="B24" s="7"/>
      <c r="C24" s="7"/>
      <c r="D24" s="7"/>
      <c r="E24" s="7"/>
      <c r="F24" s="7"/>
      <c r="G24" s="7"/>
      <c r="H24" s="7"/>
      <c r="I24" s="7"/>
      <c r="J24" s="7"/>
      <c r="K24" s="7"/>
      <c r="L24" s="7"/>
      <c r="M24" s="7"/>
    </row>
    <row r="25" spans="1:13" x14ac:dyDescent="0.25">
      <c r="B25" s="7"/>
      <c r="C25" s="7"/>
      <c r="D25" s="7"/>
      <c r="E25" s="7"/>
      <c r="F25" s="7"/>
      <c r="G25" s="7"/>
      <c r="H25" s="7"/>
      <c r="I25" s="7"/>
      <c r="J25" s="7"/>
      <c r="K25" s="7"/>
      <c r="L25" s="7"/>
      <c r="M25" s="7"/>
    </row>
    <row r="26" spans="1:13" x14ac:dyDescent="0.25">
      <c r="B26" s="7"/>
      <c r="C26" s="7"/>
      <c r="D26" s="7"/>
      <c r="E26" s="7"/>
      <c r="F26" s="7"/>
      <c r="G26" s="7"/>
      <c r="H26" s="7"/>
      <c r="I26" s="7"/>
      <c r="J26" s="7"/>
      <c r="K26" s="7"/>
      <c r="L26" s="7"/>
      <c r="M26" s="7"/>
    </row>
    <row r="27" spans="1:13" x14ac:dyDescent="0.25">
      <c r="B27" s="7"/>
      <c r="C27" s="7"/>
      <c r="D27" s="7"/>
      <c r="E27" s="7"/>
      <c r="F27" s="7"/>
      <c r="G27" s="7"/>
      <c r="H27" s="7"/>
      <c r="I27" s="7"/>
      <c r="J27" s="7"/>
      <c r="K27" s="7"/>
      <c r="L27" s="7"/>
      <c r="M27" s="7"/>
    </row>
    <row r="28" spans="1:13" x14ac:dyDescent="0.25">
      <c r="B28" s="7"/>
      <c r="C28" s="7"/>
      <c r="D28" s="7"/>
      <c r="E28" s="7"/>
      <c r="F28" s="7"/>
      <c r="G28" s="7"/>
      <c r="H28" s="7"/>
      <c r="I28" s="7"/>
      <c r="J28" s="7"/>
      <c r="K28" s="7"/>
      <c r="L28" s="7"/>
      <c r="M28" s="7"/>
    </row>
    <row r="29" spans="1:13" x14ac:dyDescent="0.25">
      <c r="B29" s="7"/>
      <c r="C29" s="7"/>
      <c r="D29" s="7"/>
      <c r="E29" s="7"/>
      <c r="F29" s="7"/>
      <c r="G29" s="7"/>
      <c r="H29" s="7"/>
      <c r="I29" s="7"/>
      <c r="J29" s="7"/>
      <c r="K29" s="7"/>
      <c r="L29" s="7"/>
      <c r="M29" s="7"/>
    </row>
    <row r="30" spans="1:13" x14ac:dyDescent="0.25">
      <c r="B30" s="7"/>
      <c r="C30" s="7"/>
      <c r="D30" s="7"/>
      <c r="E30" s="7"/>
      <c r="F30" s="7"/>
      <c r="G30" s="7"/>
      <c r="H30" s="7"/>
      <c r="I30" s="7"/>
      <c r="J30" s="7"/>
      <c r="K30" s="7"/>
      <c r="L30" s="7"/>
      <c r="M30" s="7"/>
    </row>
    <row r="31" spans="1:13" x14ac:dyDescent="0.25">
      <c r="B31" s="7"/>
      <c r="C31" s="7"/>
      <c r="D31" s="7"/>
      <c r="E31" s="7"/>
      <c r="F31" s="7"/>
      <c r="G31" s="7"/>
      <c r="H31" s="7"/>
      <c r="I31" s="7"/>
      <c r="J31" s="7"/>
      <c r="K31" s="7"/>
      <c r="L31" s="7"/>
      <c r="M31" s="7"/>
    </row>
    <row r="32" spans="1:13" x14ac:dyDescent="0.25">
      <c r="B32" s="7"/>
      <c r="C32" s="7"/>
      <c r="D32" s="7"/>
      <c r="E32" s="7"/>
      <c r="F32" s="7"/>
      <c r="G32" s="7"/>
      <c r="H32" s="7"/>
      <c r="I32" s="7"/>
      <c r="J32" s="7"/>
      <c r="K32" s="7"/>
      <c r="L32" s="7"/>
      <c r="M32" s="7"/>
    </row>
    <row r="33" spans="2:13" x14ac:dyDescent="0.25">
      <c r="B33" s="7"/>
      <c r="C33" s="7"/>
      <c r="D33" s="7"/>
      <c r="E33" s="7"/>
      <c r="F33" s="7"/>
      <c r="G33" s="7"/>
      <c r="H33" s="7"/>
      <c r="I33" s="7"/>
      <c r="J33" s="7"/>
      <c r="K33" s="7"/>
      <c r="L33" s="7"/>
      <c r="M33" s="7"/>
    </row>
    <row r="34" spans="2:13" x14ac:dyDescent="0.25">
      <c r="B34" s="7"/>
      <c r="C34" s="7"/>
      <c r="D34" s="7"/>
      <c r="E34" s="7"/>
      <c r="F34" s="7"/>
      <c r="G34" s="7"/>
      <c r="H34" s="7"/>
      <c r="I34" s="7"/>
      <c r="J34" s="7"/>
      <c r="K34" s="7"/>
      <c r="L34" s="7"/>
      <c r="M34" s="7"/>
    </row>
    <row r="35" spans="2:13" x14ac:dyDescent="0.25">
      <c r="B35" s="7"/>
      <c r="C35" s="7"/>
      <c r="D35" s="7"/>
      <c r="E35" s="7"/>
      <c r="F35" s="7"/>
      <c r="G35" s="7"/>
      <c r="H35" s="7"/>
      <c r="I35" s="7"/>
      <c r="J35" s="7"/>
      <c r="K35" s="7"/>
      <c r="L35" s="7"/>
      <c r="M35" s="7"/>
    </row>
    <row r="36" spans="2:13" x14ac:dyDescent="0.25">
      <c r="B36" s="7"/>
      <c r="C36" s="7"/>
      <c r="D36" s="7"/>
      <c r="E36" s="7"/>
      <c r="F36" s="7"/>
      <c r="G36" s="7"/>
      <c r="H36" s="7"/>
      <c r="I36" s="7"/>
      <c r="J36" s="7"/>
      <c r="K36" s="7"/>
      <c r="L36" s="7"/>
      <c r="M36" s="7"/>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87"/>
  <sheetViews>
    <sheetView topLeftCell="A7" workbookViewId="0">
      <selection activeCell="L36" sqref="L36"/>
    </sheetView>
  </sheetViews>
  <sheetFormatPr defaultColWidth="8.7109375" defaultRowHeight="15" x14ac:dyDescent="0.25"/>
  <cols>
    <col min="1" max="1" width="53.85546875" style="46" customWidth="1"/>
    <col min="2" max="2" width="14.140625" style="46" customWidth="1"/>
    <col min="3" max="3" width="12.42578125" style="46" customWidth="1"/>
    <col min="4" max="4" width="12.5703125" style="46" customWidth="1"/>
    <col min="5" max="5" width="11.5703125" style="46" customWidth="1"/>
    <col min="6" max="6" width="9.5703125" style="46" customWidth="1"/>
    <col min="7" max="7" width="11" style="46" customWidth="1"/>
    <col min="8" max="9" width="10.5703125" style="46" customWidth="1"/>
    <col min="10" max="11" width="11.85546875" style="46" customWidth="1"/>
    <col min="12" max="12" width="23.5703125" style="46" customWidth="1"/>
    <col min="13" max="16" width="11.85546875" style="46" customWidth="1"/>
    <col min="17" max="19" width="9.5703125" style="46" customWidth="1"/>
    <col min="20" max="20" width="10" style="46" customWidth="1"/>
    <col min="21" max="21" width="10.140625" style="46" customWidth="1"/>
    <col min="22" max="22" width="11.28515625" style="46" customWidth="1"/>
    <col min="23" max="25" width="12.85546875" style="46" customWidth="1"/>
    <col min="26" max="26" width="43.140625" style="46" customWidth="1"/>
    <col min="27" max="27" width="9.7109375" style="46" customWidth="1"/>
    <col min="28" max="28" width="49" style="46" customWidth="1"/>
    <col min="29" max="16384" width="8.7109375" style="46"/>
  </cols>
  <sheetData>
    <row r="2" spans="1:22" x14ac:dyDescent="0.25">
      <c r="A2" s="46" t="s">
        <v>113</v>
      </c>
    </row>
    <row r="4" spans="1:22" x14ac:dyDescent="0.25">
      <c r="A4" s="55" t="s">
        <v>24</v>
      </c>
    </row>
    <row r="5" spans="1:22" x14ac:dyDescent="0.25">
      <c r="A5" s="55"/>
      <c r="B5" s="55"/>
      <c r="C5" s="55"/>
      <c r="D5" s="55"/>
      <c r="E5" s="47"/>
    </row>
    <row r="6" spans="1:22" x14ac:dyDescent="0.25">
      <c r="A6" s="55" t="s">
        <v>3</v>
      </c>
      <c r="B6" s="55"/>
      <c r="C6" s="55"/>
      <c r="D6" s="55"/>
      <c r="E6" s="47"/>
    </row>
    <row r="7" spans="1:22" x14ac:dyDescent="0.25">
      <c r="A7" s="47"/>
      <c r="B7" s="48" t="s">
        <v>65</v>
      </c>
      <c r="C7" s="48" t="s">
        <v>65</v>
      </c>
      <c r="D7" s="48" t="s">
        <v>65</v>
      </c>
      <c r="E7" s="48" t="s">
        <v>65</v>
      </c>
      <c r="F7" s="48" t="s">
        <v>65</v>
      </c>
      <c r="G7" s="48" t="s">
        <v>65</v>
      </c>
      <c r="H7" s="48" t="s">
        <v>65</v>
      </c>
      <c r="I7" s="48" t="s">
        <v>65</v>
      </c>
      <c r="J7" s="48" t="s">
        <v>65</v>
      </c>
      <c r="P7" s="48" t="s">
        <v>65</v>
      </c>
      <c r="Q7" s="48" t="s">
        <v>65</v>
      </c>
      <c r="R7" s="48"/>
      <c r="S7" s="48" t="s">
        <v>148</v>
      </c>
      <c r="T7" s="48" t="s">
        <v>148</v>
      </c>
      <c r="U7" s="48" t="s">
        <v>148</v>
      </c>
      <c r="V7" s="48" t="s">
        <v>148</v>
      </c>
    </row>
    <row r="8" spans="1:22" x14ac:dyDescent="0.25">
      <c r="A8" s="55" t="s">
        <v>1</v>
      </c>
      <c r="B8" s="50" t="s">
        <v>36</v>
      </c>
      <c r="C8" s="50" t="s">
        <v>37</v>
      </c>
      <c r="D8" s="50" t="s">
        <v>38</v>
      </c>
      <c r="E8" s="49" t="s">
        <v>33</v>
      </c>
      <c r="F8" s="50" t="s">
        <v>36</v>
      </c>
      <c r="G8" s="50" t="s">
        <v>37</v>
      </c>
      <c r="H8" s="50" t="s">
        <v>38</v>
      </c>
      <c r="I8" s="49" t="s">
        <v>33</v>
      </c>
      <c r="J8" s="50" t="s">
        <v>36</v>
      </c>
      <c r="P8" s="49" t="s">
        <v>161</v>
      </c>
      <c r="Q8" s="49" t="s">
        <v>161</v>
      </c>
      <c r="R8" s="49"/>
      <c r="S8" s="50" t="s">
        <v>36</v>
      </c>
      <c r="T8" s="50" t="s">
        <v>37</v>
      </c>
      <c r="U8" s="50" t="s">
        <v>38</v>
      </c>
      <c r="V8" s="50" t="s">
        <v>33</v>
      </c>
    </row>
    <row r="9" spans="1:22" x14ac:dyDescent="0.25">
      <c r="A9" s="55" t="s">
        <v>1</v>
      </c>
      <c r="B9" s="51" t="s">
        <v>34</v>
      </c>
      <c r="C9" s="51" t="s">
        <v>34</v>
      </c>
      <c r="D9" s="51" t="s">
        <v>34</v>
      </c>
      <c r="E9" s="51" t="s">
        <v>34</v>
      </c>
      <c r="F9" s="51" t="s">
        <v>39</v>
      </c>
      <c r="G9" s="51" t="s">
        <v>39</v>
      </c>
      <c r="H9" s="51" t="s">
        <v>39</v>
      </c>
      <c r="I9" s="51" t="s">
        <v>39</v>
      </c>
      <c r="J9" s="51" t="s">
        <v>50</v>
      </c>
      <c r="P9" s="51" t="s">
        <v>34</v>
      </c>
      <c r="Q9" s="51" t="s">
        <v>39</v>
      </c>
      <c r="R9" s="51"/>
      <c r="S9" s="51" t="s">
        <v>34</v>
      </c>
      <c r="T9" s="51" t="s">
        <v>34</v>
      </c>
      <c r="U9" s="51" t="s">
        <v>34</v>
      </c>
      <c r="V9" s="51" t="s">
        <v>34</v>
      </c>
    </row>
    <row r="10" spans="1:22" x14ac:dyDescent="0.25">
      <c r="A10" s="55" t="s">
        <v>1</v>
      </c>
      <c r="B10" s="55"/>
      <c r="C10" s="55"/>
      <c r="D10" s="55"/>
      <c r="E10" s="47"/>
      <c r="I10" s="47"/>
      <c r="J10" s="47"/>
    </row>
    <row r="11" spans="1:22" x14ac:dyDescent="0.25">
      <c r="A11" s="55" t="s">
        <v>115</v>
      </c>
      <c r="B11" s="47"/>
      <c r="C11" s="47"/>
      <c r="D11" s="55"/>
      <c r="E11" s="47"/>
      <c r="I11" s="47"/>
      <c r="J11" s="47"/>
    </row>
    <row r="12" spans="1:22" x14ac:dyDescent="0.25">
      <c r="A12" s="55" t="s">
        <v>19</v>
      </c>
      <c r="B12" s="67">
        <v>3235</v>
      </c>
      <c r="C12" s="67">
        <v>5373</v>
      </c>
      <c r="D12" s="67">
        <v>4069</v>
      </c>
      <c r="E12" s="67">
        <v>219</v>
      </c>
      <c r="F12" s="67">
        <v>4532</v>
      </c>
      <c r="G12" s="65">
        <v>5780</v>
      </c>
      <c r="H12" s="65">
        <v>4599</v>
      </c>
      <c r="I12" s="65">
        <v>2333</v>
      </c>
      <c r="J12" s="65">
        <v>4550</v>
      </c>
      <c r="P12" s="65">
        <f>SUM(B12:E12)</f>
        <v>12896</v>
      </c>
      <c r="Q12" s="65">
        <f>SUM(F12:I12)</f>
        <v>17244</v>
      </c>
      <c r="S12" s="53">
        <f>+'IS by Qtr'!B29</f>
        <v>3235</v>
      </c>
      <c r="T12" s="53">
        <f>+'IS by Qtr'!C29</f>
        <v>5373</v>
      </c>
      <c r="U12" s="53">
        <f>+'IS by Qtr'!D29</f>
        <v>4069</v>
      </c>
      <c r="V12" s="53">
        <f>+'IS by Qtr'!E29</f>
        <v>219</v>
      </c>
    </row>
    <row r="13" spans="1:22" x14ac:dyDescent="0.25">
      <c r="A13" s="55" t="s">
        <v>116</v>
      </c>
      <c r="B13" s="47"/>
      <c r="C13" s="47"/>
      <c r="D13" s="47"/>
      <c r="E13" s="47"/>
      <c r="F13" s="47"/>
    </row>
    <row r="14" spans="1:22" x14ac:dyDescent="0.25">
      <c r="A14" s="55" t="s">
        <v>117</v>
      </c>
      <c r="B14" s="47"/>
      <c r="C14" s="47"/>
      <c r="D14" s="47"/>
      <c r="E14" s="47"/>
      <c r="F14" s="47"/>
    </row>
    <row r="15" spans="1:22" x14ac:dyDescent="0.25">
      <c r="A15" s="55" t="s">
        <v>13</v>
      </c>
      <c r="B15" s="58">
        <v>2998</v>
      </c>
      <c r="C15" s="54">
        <v>3194</v>
      </c>
      <c r="D15" s="54">
        <v>3230</v>
      </c>
      <c r="E15" s="54">
        <v>3405</v>
      </c>
      <c r="F15" s="58">
        <v>3477</v>
      </c>
      <c r="G15" s="53">
        <v>3707</v>
      </c>
      <c r="H15" s="53">
        <v>3821</v>
      </c>
      <c r="I15" s="53">
        <v>4076</v>
      </c>
      <c r="J15" s="53">
        <v>4161</v>
      </c>
      <c r="P15" s="53">
        <f>SUM(B15:E15)</f>
        <v>12827</v>
      </c>
      <c r="Q15" s="53">
        <f t="shared" ref="Q15:Q30" si="0">SUM(F15:I15)</f>
        <v>15081</v>
      </c>
      <c r="S15" s="53">
        <f>+'IS by Qtr'!B21</f>
        <v>2998</v>
      </c>
      <c r="T15" s="53">
        <f>+'IS by Qtr'!C21</f>
        <v>3194</v>
      </c>
      <c r="U15" s="53">
        <f>+'IS by Qtr'!D21</f>
        <v>3230</v>
      </c>
      <c r="V15" s="53">
        <f>+'IS by Qtr'!E21</f>
        <v>3405</v>
      </c>
    </row>
    <row r="16" spans="1:22" x14ac:dyDescent="0.25">
      <c r="A16" s="55" t="s">
        <v>118</v>
      </c>
      <c r="B16" s="58">
        <v>11</v>
      </c>
      <c r="C16" s="54">
        <v>11</v>
      </c>
      <c r="D16" s="54">
        <v>12</v>
      </c>
      <c r="E16" s="54">
        <v>9</v>
      </c>
      <c r="F16" s="58">
        <v>8</v>
      </c>
      <c r="G16" s="53">
        <v>8</v>
      </c>
      <c r="H16" s="53">
        <v>9</v>
      </c>
      <c r="I16" s="53">
        <v>8</v>
      </c>
      <c r="J16" s="53">
        <v>8</v>
      </c>
      <c r="P16" s="53">
        <f t="shared" ref="P16:P61" si="1">SUM(B16:E16)</f>
        <v>43</v>
      </c>
      <c r="Q16" s="53">
        <f t="shared" si="0"/>
        <v>33</v>
      </c>
      <c r="S16" s="53"/>
      <c r="T16" s="53"/>
      <c r="U16" s="53"/>
      <c r="V16" s="53"/>
    </row>
    <row r="17" spans="1:22" x14ac:dyDescent="0.25">
      <c r="A17" s="46" t="s">
        <v>30</v>
      </c>
      <c r="B17" s="58">
        <v>0</v>
      </c>
      <c r="C17" s="54">
        <v>0</v>
      </c>
      <c r="D17" s="54">
        <v>0</v>
      </c>
      <c r="E17" s="54">
        <v>4360</v>
      </c>
      <c r="F17" s="58">
        <v>0</v>
      </c>
      <c r="G17" s="53">
        <v>0</v>
      </c>
      <c r="H17" s="53">
        <v>269</v>
      </c>
      <c r="I17" s="53">
        <v>1098</v>
      </c>
      <c r="J17" s="53">
        <v>0</v>
      </c>
      <c r="P17" s="53">
        <f t="shared" si="1"/>
        <v>4360</v>
      </c>
      <c r="Q17" s="53">
        <f t="shared" si="0"/>
        <v>1367</v>
      </c>
      <c r="S17" s="53">
        <f>+'IS by Qtr copy'!B20</f>
        <v>0</v>
      </c>
      <c r="T17" s="53">
        <f>+'IS by Qtr copy'!C20</f>
        <v>0</v>
      </c>
      <c r="U17" s="53">
        <f>+'IS by Qtr copy'!D20</f>
        <v>0</v>
      </c>
      <c r="V17" s="53">
        <f>+'IS by Qtr copy'!E20</f>
        <v>4360</v>
      </c>
    </row>
    <row r="18" spans="1:22" x14ac:dyDescent="0.25">
      <c r="A18" s="55" t="s">
        <v>119</v>
      </c>
      <c r="B18" s="58">
        <v>356</v>
      </c>
      <c r="C18" s="54">
        <v>449</v>
      </c>
      <c r="D18" s="54">
        <v>450</v>
      </c>
      <c r="E18" s="54">
        <v>463</v>
      </c>
      <c r="F18" s="58">
        <v>469</v>
      </c>
      <c r="G18" s="53">
        <v>589</v>
      </c>
      <c r="H18" s="53">
        <v>566</v>
      </c>
      <c r="I18" s="53">
        <v>569</v>
      </c>
      <c r="J18" s="53">
        <v>597</v>
      </c>
      <c r="P18" s="53">
        <f t="shared" si="1"/>
        <v>1718</v>
      </c>
      <c r="Q18" s="53">
        <f t="shared" si="0"/>
        <v>2193</v>
      </c>
      <c r="S18" s="53"/>
      <c r="T18" s="53"/>
      <c r="U18" s="53"/>
      <c r="V18" s="53"/>
    </row>
    <row r="19" spans="1:22" x14ac:dyDescent="0.25">
      <c r="A19" s="55" t="s">
        <v>120</v>
      </c>
      <c r="B19" s="58">
        <v>-28</v>
      </c>
      <c r="C19" s="54">
        <v>-39</v>
      </c>
      <c r="D19" s="54">
        <v>-42</v>
      </c>
      <c r="E19" s="54">
        <v>75</v>
      </c>
      <c r="F19" s="58">
        <v>-183</v>
      </c>
      <c r="G19" s="53">
        <v>-2357</v>
      </c>
      <c r="H19" s="53">
        <v>-618</v>
      </c>
      <c r="I19" s="53">
        <v>-107</v>
      </c>
      <c r="J19" s="53">
        <v>0</v>
      </c>
      <c r="P19" s="53">
        <f t="shared" si="1"/>
        <v>-34</v>
      </c>
      <c r="Q19" s="53">
        <f t="shared" si="0"/>
        <v>-3265</v>
      </c>
      <c r="S19" s="53"/>
      <c r="T19" s="53"/>
      <c r="U19" s="53"/>
      <c r="V19" s="53"/>
    </row>
    <row r="20" spans="1:22" x14ac:dyDescent="0.25">
      <c r="A20" s="55" t="s">
        <v>121</v>
      </c>
      <c r="B20" s="58">
        <v>68</v>
      </c>
      <c r="C20" s="54">
        <v>19</v>
      </c>
      <c r="D20" s="54">
        <v>3</v>
      </c>
      <c r="E20" s="54">
        <v>18</v>
      </c>
      <c r="F20" s="69">
        <v>0</v>
      </c>
      <c r="G20" s="53">
        <v>37</v>
      </c>
      <c r="H20" s="53">
        <v>11</v>
      </c>
      <c r="I20" s="53">
        <v>-5</v>
      </c>
      <c r="J20" s="53">
        <v>5</v>
      </c>
      <c r="P20" s="53">
        <f t="shared" si="1"/>
        <v>108</v>
      </c>
      <c r="Q20" s="53">
        <f t="shared" si="0"/>
        <v>43</v>
      </c>
      <c r="S20" s="53"/>
      <c r="T20" s="53"/>
      <c r="U20" s="53"/>
      <c r="V20" s="53"/>
    </row>
    <row r="21" spans="1:22" x14ac:dyDescent="0.25">
      <c r="A21" s="55" t="s">
        <v>122</v>
      </c>
      <c r="B21" s="58">
        <v>-391</v>
      </c>
      <c r="C21" s="54">
        <v>-413</v>
      </c>
      <c r="D21" s="54">
        <v>-429</v>
      </c>
      <c r="E21" s="54">
        <v>-451</v>
      </c>
      <c r="F21" s="58">
        <v>-490</v>
      </c>
      <c r="G21" s="53">
        <v>-511</v>
      </c>
      <c r="H21" s="53">
        <v>-547</v>
      </c>
      <c r="I21" s="53">
        <v>-577</v>
      </c>
      <c r="J21" s="53">
        <v>-588</v>
      </c>
      <c r="P21" s="53">
        <f t="shared" si="1"/>
        <v>-1684</v>
      </c>
      <c r="Q21" s="53">
        <f t="shared" si="0"/>
        <v>-2125</v>
      </c>
      <c r="S21" s="53"/>
      <c r="T21" s="53"/>
      <c r="U21" s="53"/>
      <c r="V21" s="53"/>
    </row>
    <row r="22" spans="1:22" x14ac:dyDescent="0.25">
      <c r="A22" s="55" t="s">
        <v>123</v>
      </c>
      <c r="B22" s="58">
        <v>1376</v>
      </c>
      <c r="C22" s="54">
        <v>908</v>
      </c>
      <c r="D22" s="54">
        <v>1688</v>
      </c>
      <c r="E22" s="54">
        <v>-898</v>
      </c>
      <c r="F22" s="58">
        <v>1706</v>
      </c>
      <c r="G22" s="53">
        <v>-1602</v>
      </c>
      <c r="H22" s="53">
        <v>4354</v>
      </c>
      <c r="I22" s="53">
        <v>-970</v>
      </c>
      <c r="J22" s="53">
        <v>1136</v>
      </c>
      <c r="P22" s="53">
        <f t="shared" si="1"/>
        <v>3074</v>
      </c>
      <c r="Q22" s="53">
        <f t="shared" si="0"/>
        <v>3488</v>
      </c>
      <c r="S22" s="53">
        <f>+'BS by Qtr'!C31-'BS by Qtr'!B31</f>
        <v>1376</v>
      </c>
      <c r="T22" s="53">
        <f>+'BS by Qtr'!D31-'BS by Qtr'!C31</f>
        <v>908</v>
      </c>
      <c r="U22" s="53">
        <f>+'BS by Qtr'!E31-'BS by Qtr'!D31</f>
        <v>1688</v>
      </c>
      <c r="V22" s="53">
        <f>+'BS by Qtr'!F31-'BS by Qtr'!E31</f>
        <v>-667</v>
      </c>
    </row>
    <row r="23" spans="1:22" x14ac:dyDescent="0.25">
      <c r="A23" s="55" t="s">
        <v>124</v>
      </c>
      <c r="B23" s="47"/>
      <c r="C23" s="54"/>
      <c r="D23" s="54"/>
      <c r="E23" s="54"/>
      <c r="F23" s="47"/>
      <c r="G23" s="53"/>
      <c r="H23" s="53"/>
      <c r="I23" s="53"/>
      <c r="J23" s="53"/>
      <c r="P23" s="53">
        <f t="shared" si="1"/>
        <v>0</v>
      </c>
      <c r="Q23" s="53">
        <f t="shared" si="0"/>
        <v>0</v>
      </c>
    </row>
    <row r="24" spans="1:22" x14ac:dyDescent="0.25">
      <c r="A24" s="55" t="s">
        <v>87</v>
      </c>
      <c r="B24" s="58">
        <v>190</v>
      </c>
      <c r="C24" s="54">
        <v>48</v>
      </c>
      <c r="D24" s="54">
        <v>26</v>
      </c>
      <c r="E24" s="54">
        <v>-460</v>
      </c>
      <c r="F24" s="58">
        <v>15</v>
      </c>
      <c r="G24" s="53">
        <v>259</v>
      </c>
      <c r="H24" s="53">
        <v>71</v>
      </c>
      <c r="I24" s="53">
        <v>-359</v>
      </c>
      <c r="J24" s="53">
        <v>35</v>
      </c>
      <c r="P24" s="53">
        <f t="shared" si="1"/>
        <v>-196</v>
      </c>
      <c r="Q24" s="53">
        <f t="shared" si="0"/>
        <v>-14</v>
      </c>
      <c r="S24" s="53">
        <f>+'BS by Qtr'!B13-'BS by Qtr'!C13</f>
        <v>190</v>
      </c>
      <c r="T24" s="53">
        <f>+'BS by Qtr'!C13-'BS by Qtr'!D13</f>
        <v>48</v>
      </c>
      <c r="U24" s="53">
        <f>+'BS by Qtr'!D13-'BS by Qtr'!E13</f>
        <v>26</v>
      </c>
      <c r="V24" s="53">
        <f>+'BS by Qtr'!E13-'BS by Qtr'!F13</f>
        <v>-460</v>
      </c>
    </row>
    <row r="25" spans="1:22" x14ac:dyDescent="0.25">
      <c r="A25" s="55" t="s">
        <v>89</v>
      </c>
      <c r="B25" s="58">
        <v>21</v>
      </c>
      <c r="C25" s="54">
        <v>-138</v>
      </c>
      <c r="D25" s="54">
        <v>31</v>
      </c>
      <c r="E25" s="54">
        <v>-182</v>
      </c>
      <c r="F25" s="58">
        <v>116</v>
      </c>
      <c r="G25" s="53">
        <v>-139</v>
      </c>
      <c r="H25" s="53">
        <v>1</v>
      </c>
      <c r="I25" s="53">
        <v>-243</v>
      </c>
      <c r="J25" s="53">
        <v>250</v>
      </c>
      <c r="P25" s="53">
        <f t="shared" si="1"/>
        <v>-268</v>
      </c>
      <c r="Q25" s="53">
        <f t="shared" si="0"/>
        <v>-265</v>
      </c>
      <c r="S25" s="53">
        <f>+'BS by Qtr'!B15-'BS by Qtr'!C15</f>
        <v>21</v>
      </c>
      <c r="T25" s="53">
        <f>+'BS by Qtr'!C15-'BS by Qtr'!D15</f>
        <v>-138</v>
      </c>
      <c r="U25" s="53">
        <f>+'BS by Qtr'!D15-'BS by Qtr'!E15</f>
        <v>31</v>
      </c>
      <c r="V25" s="53">
        <f>+'BS by Qtr'!E15-'BS by Qtr'!F15</f>
        <v>-182</v>
      </c>
    </row>
    <row r="26" spans="1:22" x14ac:dyDescent="0.25">
      <c r="A26" s="46" t="s">
        <v>90</v>
      </c>
      <c r="B26" s="58">
        <v>0</v>
      </c>
      <c r="C26" s="54">
        <v>0</v>
      </c>
      <c r="D26" s="54">
        <v>0</v>
      </c>
      <c r="E26" s="54">
        <v>0</v>
      </c>
      <c r="F26" s="58">
        <v>0</v>
      </c>
      <c r="G26" s="53">
        <v>0</v>
      </c>
      <c r="H26" s="53">
        <v>-2402</v>
      </c>
      <c r="I26" s="53">
        <v>1206</v>
      </c>
      <c r="J26" s="53">
        <v>741</v>
      </c>
      <c r="P26" s="53">
        <f t="shared" si="1"/>
        <v>0</v>
      </c>
      <c r="Q26" s="53">
        <f t="shared" si="0"/>
        <v>-1196</v>
      </c>
      <c r="S26" s="53"/>
      <c r="T26" s="53"/>
      <c r="U26" s="53"/>
      <c r="V26" s="53"/>
    </row>
    <row r="27" spans="1:22" x14ac:dyDescent="0.25">
      <c r="A27" s="55" t="s">
        <v>91</v>
      </c>
      <c r="B27" s="58">
        <v>784</v>
      </c>
      <c r="C27" s="54">
        <v>-1359</v>
      </c>
      <c r="D27" s="54">
        <v>-237</v>
      </c>
      <c r="E27" s="54">
        <v>1260</v>
      </c>
      <c r="F27" s="58">
        <v>-1293</v>
      </c>
      <c r="G27" s="53">
        <v>-941</v>
      </c>
      <c r="H27" s="53">
        <v>44</v>
      </c>
      <c r="I27" s="53">
        <v>-384</v>
      </c>
      <c r="J27" s="53">
        <v>17</v>
      </c>
      <c r="P27" s="53">
        <f t="shared" si="1"/>
        <v>448</v>
      </c>
      <c r="Q27" s="53">
        <f t="shared" si="0"/>
        <v>-2574</v>
      </c>
      <c r="S27" s="53">
        <f>+'BS by Qtr'!B17-'BS by Qtr'!C17</f>
        <v>784</v>
      </c>
      <c r="T27" s="53">
        <f>+'BS by Qtr'!C17-'BS by Qtr'!D17</f>
        <v>-1359</v>
      </c>
      <c r="U27" s="53">
        <f>+'BS by Qtr'!D17-'BS by Qtr'!E17</f>
        <v>-237</v>
      </c>
      <c r="V27" s="53">
        <f>+'BS by Qtr'!E17-'BS by Qtr'!F17</f>
        <v>1260</v>
      </c>
    </row>
    <row r="28" spans="1:22" x14ac:dyDescent="0.25">
      <c r="A28" s="55" t="s">
        <v>99</v>
      </c>
      <c r="B28" s="58">
        <v>-2500</v>
      </c>
      <c r="C28" s="54">
        <v>1091</v>
      </c>
      <c r="D28" s="54">
        <v>-1018</v>
      </c>
      <c r="E28" s="54">
        <v>719</v>
      </c>
      <c r="F28" s="58">
        <v>-3341</v>
      </c>
      <c r="G28" s="53">
        <v>2368</v>
      </c>
      <c r="H28" s="53">
        <v>-759</v>
      </c>
      <c r="I28" s="53">
        <v>261</v>
      </c>
      <c r="J28" s="53">
        <v>-2031</v>
      </c>
      <c r="P28" s="53">
        <f t="shared" si="1"/>
        <v>-1708</v>
      </c>
      <c r="Q28" s="53">
        <f t="shared" si="0"/>
        <v>-1471</v>
      </c>
      <c r="S28" s="62">
        <f>+'BS by Qtr'!C26-'BS by Qtr'!B26</f>
        <v>-1484</v>
      </c>
      <c r="T28" s="62">
        <f>+'BS by Qtr'!D26-'BS by Qtr'!C26</f>
        <v>1821</v>
      </c>
      <c r="U28" s="62">
        <f>+'BS by Qtr'!E26-'BS by Qtr'!D26</f>
        <v>-137</v>
      </c>
      <c r="V28" s="62">
        <f>+'BS by Qtr'!F26-'BS by Qtr'!E26</f>
        <v>1173</v>
      </c>
    </row>
    <row r="29" spans="1:22" x14ac:dyDescent="0.25">
      <c r="A29" s="55" t="s">
        <v>125</v>
      </c>
      <c r="B29" s="58">
        <v>348</v>
      </c>
      <c r="C29" s="54">
        <v>3549</v>
      </c>
      <c r="D29" s="54">
        <v>618</v>
      </c>
      <c r="E29" s="54">
        <v>1652</v>
      </c>
      <c r="F29" s="58">
        <v>-1438</v>
      </c>
      <c r="G29" s="53">
        <v>8812</v>
      </c>
      <c r="H29" s="53">
        <v>-1947</v>
      </c>
      <c r="I29" s="53">
        <v>548</v>
      </c>
      <c r="J29" s="53">
        <v>-1211</v>
      </c>
      <c r="P29" s="53">
        <f t="shared" si="1"/>
        <v>6167</v>
      </c>
      <c r="Q29" s="53">
        <f t="shared" si="0"/>
        <v>5975</v>
      </c>
      <c r="S29" s="52">
        <f>+'BS by Qtr'!C27+'BS by Qtr'!C32-'BS by Qtr'!B27-'BS by Qtr'!B32</f>
        <v>453</v>
      </c>
      <c r="T29" s="52">
        <f>+'BS by Qtr'!D27+'BS by Qtr'!D32-'BS by Qtr'!C27-'BS by Qtr'!C32</f>
        <v>3527</v>
      </c>
      <c r="U29" s="52">
        <f>+'BS by Qtr'!E27+'BS by Qtr'!E32-'BS by Qtr'!D27-'BS by Qtr'!D32</f>
        <v>584</v>
      </c>
      <c r="V29" s="52">
        <f>+'BS by Qtr'!F27+'BS by Qtr'!F32-'BS by Qtr'!E27-'BS by Qtr'!E32</f>
        <v>2556</v>
      </c>
    </row>
    <row r="30" spans="1:22" x14ac:dyDescent="0.25">
      <c r="A30" s="55" t="s">
        <v>101</v>
      </c>
      <c r="B30" s="75">
        <v>2085</v>
      </c>
      <c r="C30" s="76">
        <v>1910</v>
      </c>
      <c r="D30" s="76">
        <v>2228</v>
      </c>
      <c r="E30" s="76">
        <v>1419</v>
      </c>
      <c r="F30" s="75">
        <v>1103</v>
      </c>
      <c r="G30" s="77">
        <v>1416</v>
      </c>
      <c r="H30" s="77">
        <v>3113</v>
      </c>
      <c r="I30" s="77">
        <v>2492</v>
      </c>
      <c r="J30" s="77">
        <v>565</v>
      </c>
      <c r="P30" s="77">
        <f t="shared" si="1"/>
        <v>7642</v>
      </c>
      <c r="Q30" s="77">
        <f t="shared" si="0"/>
        <v>8124</v>
      </c>
      <c r="R30" s="79"/>
      <c r="S30" s="78">
        <f>+'BS by Qtr'!C28+'BS by Qtr'!C33-'BS by Qtr'!B28-'BS by Qtr'!B33-S21</f>
        <v>-391</v>
      </c>
      <c r="T30" s="78">
        <f>+'BS by Qtr'!D28+'BS by Qtr'!D33-'BS by Qtr'!C28-'BS by Qtr'!C33-T21</f>
        <v>1497</v>
      </c>
      <c r="U30" s="78">
        <f>+'BS by Qtr'!E28+'BS by Qtr'!E33-'BS by Qtr'!D28-'BS by Qtr'!D33-U21</f>
        <v>739</v>
      </c>
      <c r="V30" s="78">
        <f>+'BS by Qtr'!F28+'BS by Qtr'!F33-'BS by Qtr'!E28-'BS by Qtr'!E33-V21</f>
        <v>2705</v>
      </c>
    </row>
    <row r="31" spans="1:22" x14ac:dyDescent="0.25">
      <c r="A31" s="55"/>
      <c r="B31" s="70"/>
      <c r="C31" s="71"/>
      <c r="D31" s="71"/>
      <c r="E31" s="71"/>
      <c r="F31" s="70"/>
      <c r="G31" s="72"/>
      <c r="H31" s="72"/>
      <c r="I31" s="72"/>
      <c r="J31" s="72"/>
      <c r="P31" s="72"/>
      <c r="Q31" s="72"/>
      <c r="R31" s="73"/>
      <c r="S31" s="74">
        <f>+B32+B57-SUM(S12:S30)</f>
        <v>2387</v>
      </c>
      <c r="T31" s="74">
        <f>+C32+C57-SUM(T12:T30)</f>
        <v>462</v>
      </c>
      <c r="U31" s="74">
        <f>+D32+D57-SUM(U12:U30)</f>
        <v>1517</v>
      </c>
      <c r="V31" s="74">
        <f>+E32+E57-SUM(V12:V30)</f>
        <v>-2307</v>
      </c>
    </row>
    <row r="32" spans="1:22" x14ac:dyDescent="0.25">
      <c r="A32" s="55" t="s">
        <v>126</v>
      </c>
      <c r="B32" s="61">
        <f>SUM(B12:B31)</f>
        <v>8553</v>
      </c>
      <c r="C32" s="61">
        <f t="shared" ref="C32:I32" si="2">SUM(C12:C31)</f>
        <v>14603</v>
      </c>
      <c r="D32" s="61">
        <f t="shared" si="2"/>
        <v>10629</v>
      </c>
      <c r="E32" s="61">
        <f t="shared" si="2"/>
        <v>11608</v>
      </c>
      <c r="F32" s="61">
        <f t="shared" si="2"/>
        <v>4681</v>
      </c>
      <c r="G32" s="61">
        <f t="shared" si="2"/>
        <v>17426</v>
      </c>
      <c r="H32" s="61">
        <f t="shared" si="2"/>
        <v>10585</v>
      </c>
      <c r="I32" s="61">
        <f t="shared" si="2"/>
        <v>9946</v>
      </c>
      <c r="J32" s="61">
        <f t="shared" ref="J32" si="3">SUM(J12:J31)</f>
        <v>8235</v>
      </c>
      <c r="P32" s="61">
        <f t="shared" ref="P32" si="4">SUM(P12:P31)</f>
        <v>45393</v>
      </c>
      <c r="Q32" s="61">
        <f t="shared" ref="Q32" si="5">SUM(Q12:Q31)</f>
        <v>42638</v>
      </c>
      <c r="R32" s="61">
        <f t="shared" ref="R32" si="6">SUM(R12:R31)</f>
        <v>0</v>
      </c>
      <c r="S32" s="61">
        <f t="shared" ref="S32" si="7">SUM(S12:S31)</f>
        <v>9569</v>
      </c>
      <c r="T32" s="61">
        <f t="shared" ref="T32" si="8">SUM(T12:T31)</f>
        <v>15333</v>
      </c>
      <c r="U32" s="61">
        <f t="shared" ref="U32:V32" si="9">SUM(U12:U31)</f>
        <v>11510</v>
      </c>
      <c r="V32" s="61">
        <f t="shared" si="9"/>
        <v>12062</v>
      </c>
    </row>
    <row r="33" spans="1:22" x14ac:dyDescent="0.25">
      <c r="A33" s="55" t="s">
        <v>127</v>
      </c>
      <c r="B33" s="47"/>
      <c r="C33" s="54"/>
      <c r="D33" s="54"/>
      <c r="E33" s="54"/>
      <c r="F33" s="47"/>
      <c r="H33" s="53"/>
      <c r="I33" s="53"/>
      <c r="J33" s="53"/>
      <c r="P33" s="53">
        <f t="shared" si="1"/>
        <v>0</v>
      </c>
      <c r="Q33" s="53">
        <f>SUM(F33:I33)</f>
        <v>0</v>
      </c>
      <c r="S33" s="63"/>
      <c r="T33" s="63"/>
      <c r="U33" s="63"/>
      <c r="V33" s="63"/>
    </row>
    <row r="34" spans="1:22" x14ac:dyDescent="0.25">
      <c r="A34" s="55" t="s">
        <v>128</v>
      </c>
      <c r="B34" s="58">
        <v>-5323</v>
      </c>
      <c r="C34" s="54">
        <v>-5240</v>
      </c>
      <c r="D34" s="54">
        <v>-7534</v>
      </c>
      <c r="E34" s="54">
        <v>-13531</v>
      </c>
      <c r="F34" s="58">
        <v>-8255</v>
      </c>
      <c r="G34" s="53">
        <v>-11774</v>
      </c>
      <c r="H34" s="53">
        <v>-11261</v>
      </c>
      <c r="I34" s="53">
        <v>-10276</v>
      </c>
      <c r="J34" s="53">
        <v>-7233</v>
      </c>
      <c r="P34" s="53">
        <f t="shared" si="1"/>
        <v>-31628</v>
      </c>
      <c r="Q34" s="53">
        <f>SUM(F34:I34)</f>
        <v>-41566</v>
      </c>
      <c r="S34" s="61">
        <f>+'BS by Qtr'!B19-'BS by Qtr'!C19-S15-S17</f>
        <v>-6390</v>
      </c>
      <c r="T34" s="61">
        <f>+'BS by Qtr'!C19-'BS by Qtr'!D19-T15-T17</f>
        <v>-5998</v>
      </c>
      <c r="U34" s="61">
        <f>+'BS by Qtr'!D19-'BS by Qtr'!E19-U15-U17</f>
        <v>-8463</v>
      </c>
      <c r="V34" s="61">
        <f>+'BS by Qtr'!E19-'BS by Qtr'!F19-V15-V17</f>
        <v>-14022</v>
      </c>
    </row>
    <row r="35" spans="1:22" x14ac:dyDescent="0.25">
      <c r="A35" s="55" t="s">
        <v>129</v>
      </c>
      <c r="B35" s="70">
        <v>-47</v>
      </c>
      <c r="C35" s="71">
        <v>-81</v>
      </c>
      <c r="D35" s="71">
        <v>-187</v>
      </c>
      <c r="E35" s="71">
        <v>-57</v>
      </c>
      <c r="F35" s="70">
        <v>-81</v>
      </c>
      <c r="G35" s="72">
        <v>-63</v>
      </c>
      <c r="H35" s="72">
        <v>-58</v>
      </c>
      <c r="I35" s="72">
        <v>-117</v>
      </c>
      <c r="J35" s="72">
        <v>-125</v>
      </c>
      <c r="P35" s="53">
        <f t="shared" si="1"/>
        <v>-372</v>
      </c>
      <c r="Q35" s="53">
        <f>SUM(F35:I35)</f>
        <v>-319</v>
      </c>
      <c r="S35" s="73"/>
      <c r="T35" s="73"/>
      <c r="U35" s="73"/>
      <c r="V35" s="73"/>
    </row>
    <row r="36" spans="1:22" x14ac:dyDescent="0.25">
      <c r="A36" s="55" t="s">
        <v>130</v>
      </c>
      <c r="B36" s="53">
        <f>SUM(B34:B35)</f>
        <v>-5370</v>
      </c>
      <c r="C36" s="53">
        <f t="shared" ref="C36:H36" si="10">SUM(C34:C35)</f>
        <v>-5321</v>
      </c>
      <c r="D36" s="53">
        <f t="shared" si="10"/>
        <v>-7721</v>
      </c>
      <c r="E36" s="53">
        <f t="shared" si="10"/>
        <v>-13588</v>
      </c>
      <c r="F36" s="53">
        <f t="shared" si="10"/>
        <v>-8336</v>
      </c>
      <c r="G36" s="53">
        <f t="shared" si="10"/>
        <v>-11837</v>
      </c>
      <c r="H36" s="53">
        <f t="shared" si="10"/>
        <v>-11319</v>
      </c>
      <c r="I36" s="53">
        <f t="shared" ref="I36:J36" si="11">SUM(I34:I35)</f>
        <v>-10393</v>
      </c>
      <c r="J36" s="53">
        <f t="shared" si="11"/>
        <v>-7358</v>
      </c>
      <c r="P36" s="53">
        <f>SUM(P34:P35)</f>
        <v>-32000</v>
      </c>
      <c r="Q36" s="53">
        <f>SUM(Q34:Q35)</f>
        <v>-41885</v>
      </c>
      <c r="S36" s="53">
        <f>SUM(S34:S35)</f>
        <v>-6390</v>
      </c>
      <c r="T36" s="53">
        <f>SUM(T34:T35)</f>
        <v>-5998</v>
      </c>
      <c r="U36" s="53">
        <f>SUM(U34:U35)</f>
        <v>-8463</v>
      </c>
      <c r="V36" s="53">
        <f>SUM(V34:V35)</f>
        <v>-14022</v>
      </c>
    </row>
    <row r="37" spans="1:22" x14ac:dyDescent="0.25">
      <c r="A37" s="55" t="s">
        <v>131</v>
      </c>
      <c r="B37" s="47"/>
      <c r="C37" s="54"/>
      <c r="D37" s="54"/>
      <c r="E37" s="54"/>
      <c r="F37" s="47"/>
      <c r="H37" s="53"/>
      <c r="I37" s="53"/>
      <c r="J37" s="53"/>
      <c r="P37" s="53">
        <f t="shared" si="1"/>
        <v>0</v>
      </c>
      <c r="Q37" s="53">
        <f t="shared" ref="Q37:Q43" si="12">SUM(F37:I37)</f>
        <v>0</v>
      </c>
    </row>
    <row r="38" spans="1:22" x14ac:dyDescent="0.25">
      <c r="A38" s="55" t="s">
        <v>132</v>
      </c>
      <c r="B38" s="58">
        <v>1000</v>
      </c>
      <c r="C38" s="54">
        <v>0</v>
      </c>
      <c r="D38" s="54">
        <v>0</v>
      </c>
      <c r="E38" s="54">
        <v>0</v>
      </c>
      <c r="F38" s="58">
        <v>2000</v>
      </c>
      <c r="G38" s="53">
        <v>-2000</v>
      </c>
      <c r="H38" s="53">
        <v>0</v>
      </c>
      <c r="I38" s="53">
        <v>2000</v>
      </c>
      <c r="J38" s="53">
        <v>0</v>
      </c>
      <c r="P38" s="53">
        <f t="shared" si="1"/>
        <v>1000</v>
      </c>
      <c r="Q38" s="53">
        <f t="shared" si="12"/>
        <v>2000</v>
      </c>
      <c r="S38" s="53">
        <f>+'BS by Qtr'!C34-'BS by Qtr'!B34</f>
        <v>-250</v>
      </c>
      <c r="T38" s="53">
        <f>+'BS by Qtr'!D34-'BS by Qtr'!C34</f>
        <v>-8500</v>
      </c>
      <c r="U38" s="53">
        <f>+'BS by Qtr'!E34-'BS by Qtr'!D34</f>
        <v>0</v>
      </c>
      <c r="V38" s="53">
        <f>+'BS by Qtr'!F34-'BS by Qtr'!E34</f>
        <v>0</v>
      </c>
    </row>
    <row r="39" spans="1:22" x14ac:dyDescent="0.25">
      <c r="A39" s="55" t="s">
        <v>133</v>
      </c>
      <c r="B39" s="58">
        <v>-1250</v>
      </c>
      <c r="C39" s="54">
        <v>-8500</v>
      </c>
      <c r="D39" s="54">
        <v>0</v>
      </c>
      <c r="E39" s="54">
        <v>0</v>
      </c>
      <c r="F39" s="58">
        <v>-2000</v>
      </c>
      <c r="G39" s="53">
        <v>2000</v>
      </c>
      <c r="H39" s="53">
        <v>0</v>
      </c>
      <c r="I39" s="53">
        <v>-2000</v>
      </c>
      <c r="J39" s="53">
        <v>0</v>
      </c>
      <c r="P39" s="53">
        <f t="shared" si="1"/>
        <v>-9750</v>
      </c>
      <c r="Q39" s="53">
        <f t="shared" si="12"/>
        <v>-2000</v>
      </c>
    </row>
    <row r="40" spans="1:22" x14ac:dyDescent="0.25">
      <c r="A40" s="46" t="s">
        <v>160</v>
      </c>
      <c r="B40" s="58">
        <v>0</v>
      </c>
      <c r="C40" s="54">
        <v>0</v>
      </c>
      <c r="D40" s="54">
        <v>0</v>
      </c>
      <c r="E40" s="54">
        <v>-70</v>
      </c>
      <c r="F40" s="58">
        <v>0</v>
      </c>
      <c r="G40" s="53">
        <v>0</v>
      </c>
      <c r="H40" s="53">
        <v>0</v>
      </c>
      <c r="I40" s="53">
        <v>0</v>
      </c>
      <c r="J40" s="53">
        <v>0</v>
      </c>
      <c r="P40" s="53">
        <f t="shared" si="1"/>
        <v>-70</v>
      </c>
      <c r="Q40" s="53">
        <f t="shared" si="12"/>
        <v>0</v>
      </c>
    </row>
    <row r="41" spans="1:22" x14ac:dyDescent="0.25">
      <c r="A41" s="55" t="s">
        <v>120</v>
      </c>
      <c r="B41" s="58">
        <v>28</v>
      </c>
      <c r="C41" s="54">
        <v>39</v>
      </c>
      <c r="D41" s="54">
        <v>42</v>
      </c>
      <c r="E41" s="54">
        <v>-75</v>
      </c>
      <c r="F41" s="58">
        <v>183</v>
      </c>
      <c r="G41" s="53">
        <v>2357</v>
      </c>
      <c r="H41" s="53">
        <v>618</v>
      </c>
      <c r="I41" s="53">
        <v>107</v>
      </c>
      <c r="J41" s="53">
        <v>0</v>
      </c>
      <c r="P41" s="53">
        <f t="shared" si="1"/>
        <v>34</v>
      </c>
      <c r="Q41" s="53">
        <f t="shared" si="12"/>
        <v>3265</v>
      </c>
      <c r="S41" s="53"/>
      <c r="T41" s="53"/>
      <c r="U41" s="53"/>
      <c r="V41" s="53"/>
    </row>
    <row r="42" spans="1:22" x14ac:dyDescent="0.25">
      <c r="A42" s="55" t="s">
        <v>134</v>
      </c>
      <c r="B42" s="58">
        <v>53</v>
      </c>
      <c r="C42" s="54">
        <v>38</v>
      </c>
      <c r="D42" s="54">
        <v>14</v>
      </c>
      <c r="E42" s="54">
        <v>59</v>
      </c>
      <c r="F42" s="58">
        <v>60</v>
      </c>
      <c r="G42" s="53">
        <v>1017</v>
      </c>
      <c r="H42" s="53">
        <v>302</v>
      </c>
      <c r="I42" s="53">
        <v>92</v>
      </c>
      <c r="J42" s="53">
        <v>69</v>
      </c>
      <c r="P42" s="53">
        <f t="shared" si="1"/>
        <v>164</v>
      </c>
      <c r="Q42" s="53">
        <f t="shared" si="12"/>
        <v>1471</v>
      </c>
      <c r="S42" s="53"/>
      <c r="T42" s="53"/>
      <c r="U42" s="53"/>
      <c r="V42" s="53"/>
    </row>
    <row r="43" spans="1:22" x14ac:dyDescent="0.25">
      <c r="A43" s="55" t="s">
        <v>135</v>
      </c>
      <c r="B43" s="70">
        <v>-50</v>
      </c>
      <c r="C43" s="71">
        <v>-4</v>
      </c>
      <c r="D43" s="71">
        <v>0</v>
      </c>
      <c r="E43" s="71">
        <v>-3</v>
      </c>
      <c r="F43" s="70">
        <v>-293</v>
      </c>
      <c r="G43" s="72">
        <v>-18</v>
      </c>
      <c r="H43" s="72">
        <v>-11</v>
      </c>
      <c r="I43" s="72">
        <v>-2</v>
      </c>
      <c r="J43" s="72">
        <v>-458</v>
      </c>
      <c r="P43" s="72">
        <f t="shared" si="1"/>
        <v>-57</v>
      </c>
      <c r="Q43" s="72">
        <f t="shared" si="12"/>
        <v>-324</v>
      </c>
      <c r="R43" s="73"/>
      <c r="S43" s="74">
        <f>+B44-SUM(S38:S42)+B36-B57-S36</f>
        <v>35</v>
      </c>
      <c r="T43" s="74">
        <f>+C44-SUM(T38:T42)+C36-C57-T36</f>
        <v>20</v>
      </c>
      <c r="U43" s="74">
        <f>+D44-SUM(U38:U42)+D36-D57-U36</f>
        <v>-83</v>
      </c>
      <c r="V43" s="74">
        <f>+E44-SUM(V38:V42)+E36-E57-V36</f>
        <v>-109</v>
      </c>
    </row>
    <row r="44" spans="1:22" x14ac:dyDescent="0.25">
      <c r="A44" s="55" t="s">
        <v>136</v>
      </c>
      <c r="B44" s="53">
        <f t="shared" ref="B44:F44" si="13">SUM(B38:B43)</f>
        <v>-219</v>
      </c>
      <c r="C44" s="53">
        <f t="shared" si="13"/>
        <v>-8427</v>
      </c>
      <c r="D44" s="53">
        <f t="shared" si="13"/>
        <v>56</v>
      </c>
      <c r="E44" s="53">
        <f t="shared" si="13"/>
        <v>-89</v>
      </c>
      <c r="F44" s="53">
        <f t="shared" si="13"/>
        <v>-50</v>
      </c>
      <c r="G44" s="53">
        <f t="shared" ref="G44:H44" si="14">SUM(G38:G43)</f>
        <v>3356</v>
      </c>
      <c r="H44" s="53">
        <f t="shared" si="14"/>
        <v>909</v>
      </c>
      <c r="I44" s="53">
        <f t="shared" ref="I44:J44" si="15">SUM(I38:I43)</f>
        <v>197</v>
      </c>
      <c r="J44" s="53">
        <f t="shared" si="15"/>
        <v>-389</v>
      </c>
      <c r="P44" s="53">
        <f>SUM(P38:P43)</f>
        <v>-8679</v>
      </c>
      <c r="Q44" s="53">
        <f>SUM(Q38:Q43)</f>
        <v>4412</v>
      </c>
      <c r="S44" s="53">
        <f>SUM(S38:S43)</f>
        <v>-215</v>
      </c>
      <c r="T44" s="53">
        <f>SUM(T38:T43)</f>
        <v>-8480</v>
      </c>
      <c r="U44" s="53">
        <f>SUM(U38:U43)</f>
        <v>-83</v>
      </c>
      <c r="V44" s="53">
        <f>SUM(V38:V43)</f>
        <v>-109</v>
      </c>
    </row>
    <row r="45" spans="1:22" x14ac:dyDescent="0.25">
      <c r="A45" s="55"/>
      <c r="B45" s="53"/>
      <c r="C45" s="53"/>
      <c r="D45" s="53"/>
      <c r="E45" s="53"/>
      <c r="F45" s="53"/>
      <c r="G45" s="53"/>
      <c r="H45" s="53"/>
      <c r="I45" s="53"/>
      <c r="J45" s="53"/>
      <c r="P45" s="53"/>
      <c r="Q45" s="53"/>
      <c r="S45" s="53"/>
      <c r="T45" s="53"/>
      <c r="U45" s="53"/>
      <c r="V45" s="53"/>
    </row>
    <row r="46" spans="1:22" x14ac:dyDescent="0.25">
      <c r="A46" s="55" t="s">
        <v>137</v>
      </c>
      <c r="B46" s="61">
        <f>+B32+B36+B44</f>
        <v>2964</v>
      </c>
      <c r="C46" s="61">
        <f>+C32+C36+C44</f>
        <v>855</v>
      </c>
      <c r="D46" s="61">
        <f t="shared" ref="D46:F46" si="16">+D32+D36+D44</f>
        <v>2964</v>
      </c>
      <c r="E46" s="61">
        <f t="shared" si="16"/>
        <v>-2069</v>
      </c>
      <c r="F46" s="61">
        <f t="shared" si="16"/>
        <v>-3705</v>
      </c>
      <c r="G46" s="61">
        <f t="shared" ref="G46:H46" si="17">+G32+G36+G44</f>
        <v>8945</v>
      </c>
      <c r="H46" s="61">
        <f t="shared" si="17"/>
        <v>175</v>
      </c>
      <c r="I46" s="61">
        <f t="shared" ref="I46:J46" si="18">+I32+I36+I44</f>
        <v>-250</v>
      </c>
      <c r="J46" s="61">
        <f t="shared" si="18"/>
        <v>488</v>
      </c>
      <c r="P46" s="61">
        <f t="shared" ref="P46:Q46" si="19">+P32+P36+P44</f>
        <v>4714</v>
      </c>
      <c r="Q46" s="61">
        <f t="shared" si="19"/>
        <v>5165</v>
      </c>
      <c r="R46" s="61"/>
      <c r="S46" s="61">
        <f t="shared" ref="S46" si="20">+S32+S36+S44</f>
        <v>2964</v>
      </c>
      <c r="T46" s="61">
        <f t="shared" ref="T46:U46" si="21">+T32+T36+T44</f>
        <v>855</v>
      </c>
      <c r="U46" s="61">
        <f t="shared" si="21"/>
        <v>2964</v>
      </c>
      <c r="V46" s="61">
        <f t="shared" ref="V46" si="22">+V32+V36+V44</f>
        <v>-2069</v>
      </c>
    </row>
    <row r="47" spans="1:22" x14ac:dyDescent="0.25">
      <c r="A47" s="55"/>
      <c r="B47" s="58"/>
      <c r="C47" s="61"/>
      <c r="D47" s="54"/>
      <c r="E47" s="54"/>
      <c r="F47" s="58"/>
      <c r="G47" s="58"/>
      <c r="H47" s="58"/>
      <c r="I47" s="58"/>
      <c r="J47" s="58"/>
      <c r="P47" s="53"/>
      <c r="Q47" s="53"/>
      <c r="S47" s="61"/>
      <c r="T47" s="61"/>
      <c r="U47" s="61"/>
      <c r="V47" s="61"/>
    </row>
    <row r="48" spans="1:22" x14ac:dyDescent="0.25">
      <c r="A48" s="55" t="s">
        <v>138</v>
      </c>
      <c r="B48" s="58">
        <v>3815</v>
      </c>
      <c r="C48" s="54">
        <f>+B49</f>
        <v>6779</v>
      </c>
      <c r="D48" s="54">
        <f>+C49</f>
        <v>7634</v>
      </c>
      <c r="E48" s="54">
        <f>+D49</f>
        <v>10598</v>
      </c>
      <c r="F48" s="58">
        <v>8529</v>
      </c>
      <c r="G48" s="58">
        <f>+F49</f>
        <v>4824</v>
      </c>
      <c r="H48" s="58">
        <f>+G49</f>
        <v>13769</v>
      </c>
      <c r="I48" s="58">
        <f>+H49</f>
        <v>13944</v>
      </c>
      <c r="J48" s="58">
        <f>+I49</f>
        <v>13694</v>
      </c>
      <c r="P48" s="53">
        <f>+B48</f>
        <v>3815</v>
      </c>
      <c r="Q48" s="53">
        <f>+P49</f>
        <v>8529</v>
      </c>
      <c r="S48" s="52">
        <f>+'BS by Qtr'!B12</f>
        <v>3815</v>
      </c>
      <c r="T48" s="52">
        <f>+S49</f>
        <v>6779</v>
      </c>
      <c r="U48" s="52">
        <f>+T49</f>
        <v>7634</v>
      </c>
      <c r="V48" s="52">
        <f>+U49</f>
        <v>10598</v>
      </c>
    </row>
    <row r="49" spans="1:22" x14ac:dyDescent="0.25">
      <c r="A49" s="55" t="s">
        <v>139</v>
      </c>
      <c r="B49" s="53">
        <f>SUM(B46:B48)</f>
        <v>6779</v>
      </c>
      <c r="C49" s="53">
        <f>SUM(C46:C48)</f>
        <v>7634</v>
      </c>
      <c r="D49" s="53">
        <f>SUM(D46:D48)</f>
        <v>10598</v>
      </c>
      <c r="E49" s="53">
        <f>SUM(E46:E48)</f>
        <v>8529</v>
      </c>
      <c r="F49" s="53">
        <f t="shared" ref="F49:H49" si="23">SUM(F46:F48)</f>
        <v>4824</v>
      </c>
      <c r="G49" s="53">
        <f t="shared" si="23"/>
        <v>13769</v>
      </c>
      <c r="H49" s="53">
        <f t="shared" si="23"/>
        <v>13944</v>
      </c>
      <c r="I49" s="53">
        <f t="shared" ref="I49:J49" si="24">SUM(I46:I48)</f>
        <v>13694</v>
      </c>
      <c r="J49" s="53">
        <f t="shared" si="24"/>
        <v>14182</v>
      </c>
      <c r="P49" s="53">
        <f>SUM(P46:P48)</f>
        <v>8529</v>
      </c>
      <c r="Q49" s="53">
        <f>SUM(Q46:Q48)</f>
        <v>13694</v>
      </c>
      <c r="S49" s="53">
        <f>SUM(S46:S48)</f>
        <v>6779</v>
      </c>
      <c r="T49" s="53">
        <f>SUM(T46:T48)</f>
        <v>7634</v>
      </c>
      <c r="U49" s="53">
        <f>SUM(U46:U48)</f>
        <v>10598</v>
      </c>
      <c r="V49" s="53">
        <f>SUM(V46:V48)</f>
        <v>8529</v>
      </c>
    </row>
    <row r="50" spans="1:22" x14ac:dyDescent="0.25">
      <c r="A50" s="47"/>
      <c r="B50" s="47"/>
      <c r="C50" s="54"/>
      <c r="D50" s="54"/>
      <c r="E50" s="54"/>
      <c r="F50" s="47"/>
      <c r="H50" s="53"/>
      <c r="I50" s="53"/>
      <c r="J50" s="53"/>
      <c r="P50" s="53"/>
      <c r="Q50" s="53"/>
    </row>
    <row r="51" spans="1:22" x14ac:dyDescent="0.25">
      <c r="A51" s="47"/>
      <c r="B51" s="47"/>
      <c r="C51" s="54">
        <v>7634</v>
      </c>
      <c r="D51" s="54">
        <v>10598</v>
      </c>
      <c r="E51" s="54">
        <v>8529</v>
      </c>
      <c r="F51" s="47">
        <v>4824</v>
      </c>
      <c r="G51" s="54">
        <v>13769</v>
      </c>
      <c r="H51" s="53">
        <v>13944</v>
      </c>
      <c r="I51" s="53">
        <v>13694</v>
      </c>
      <c r="J51" s="53">
        <v>14182</v>
      </c>
      <c r="P51" s="53">
        <v>8529</v>
      </c>
      <c r="Q51" s="53">
        <v>13694</v>
      </c>
      <c r="S51" s="52">
        <f>+'BS by Qtr'!C12</f>
        <v>6779</v>
      </c>
      <c r="T51" s="52">
        <f>+'BS by Qtr'!D12</f>
        <v>7634</v>
      </c>
      <c r="U51" s="52">
        <f>+'BS by Qtr'!E12</f>
        <v>10598</v>
      </c>
      <c r="V51" s="52">
        <f>+'BS by Qtr'!F12</f>
        <v>8529</v>
      </c>
    </row>
    <row r="52" spans="1:22" x14ac:dyDescent="0.25">
      <c r="A52" s="47"/>
      <c r="B52" s="47"/>
      <c r="C52" s="54"/>
      <c r="D52" s="54"/>
      <c r="E52" s="54"/>
      <c r="F52" s="47"/>
      <c r="H52" s="53"/>
      <c r="I52" s="53"/>
      <c r="P52" s="53"/>
      <c r="Q52" s="53"/>
      <c r="S52" s="52">
        <f>+S49-S51</f>
        <v>0</v>
      </c>
      <c r="T52" s="52">
        <f>+T49-T51</f>
        <v>0</v>
      </c>
      <c r="U52" s="52">
        <f>+U49-U51</f>
        <v>0</v>
      </c>
      <c r="V52" s="52">
        <f>+V49-V51</f>
        <v>0</v>
      </c>
    </row>
    <row r="53" spans="1:22" x14ac:dyDescent="0.25">
      <c r="A53" s="47"/>
      <c r="B53" s="47"/>
      <c r="C53" s="54"/>
      <c r="D53" s="54"/>
      <c r="E53" s="54"/>
      <c r="F53" s="47"/>
      <c r="H53" s="53"/>
      <c r="I53" s="53"/>
      <c r="P53" s="53"/>
      <c r="Q53" s="53"/>
    </row>
    <row r="54" spans="1:22" x14ac:dyDescent="0.25">
      <c r="A54" s="55" t="s">
        <v>140</v>
      </c>
      <c r="B54" s="47"/>
      <c r="C54" s="54"/>
      <c r="D54" s="54"/>
      <c r="E54" s="54"/>
      <c r="F54" s="47"/>
      <c r="H54" s="53"/>
      <c r="I54" s="53"/>
      <c r="P54" s="53"/>
      <c r="Q54" s="53"/>
    </row>
    <row r="55" spans="1:22" x14ac:dyDescent="0.25">
      <c r="A55" s="55" t="s">
        <v>141</v>
      </c>
      <c r="B55" s="47"/>
      <c r="C55" s="54"/>
      <c r="D55" s="54"/>
      <c r="E55" s="54"/>
      <c r="F55" s="47"/>
      <c r="H55" s="53"/>
      <c r="I55" s="53"/>
      <c r="P55" s="53"/>
      <c r="Q55" s="53"/>
    </row>
    <row r="56" spans="1:22" x14ac:dyDescent="0.25">
      <c r="A56" s="55" t="s">
        <v>142</v>
      </c>
      <c r="B56" s="47"/>
      <c r="C56" s="54"/>
      <c r="D56" s="54"/>
      <c r="E56" s="54"/>
      <c r="F56" s="47"/>
      <c r="H56" s="53"/>
      <c r="I56" s="53"/>
      <c r="P56" s="53"/>
      <c r="Q56" s="53"/>
    </row>
    <row r="57" spans="1:22" x14ac:dyDescent="0.25">
      <c r="A57" s="55" t="s">
        <v>143</v>
      </c>
      <c r="B57" s="67">
        <v>1016</v>
      </c>
      <c r="C57" s="54">
        <v>730</v>
      </c>
      <c r="D57" s="54">
        <v>881</v>
      </c>
      <c r="E57" s="54">
        <v>454</v>
      </c>
      <c r="F57" s="58">
        <v>2726</v>
      </c>
      <c r="G57" s="53">
        <v>322</v>
      </c>
      <c r="H57" s="53">
        <v>-691</v>
      </c>
      <c r="I57" s="53">
        <v>-166</v>
      </c>
      <c r="J57" s="53">
        <v>2639</v>
      </c>
      <c r="P57" s="53">
        <f t="shared" si="1"/>
        <v>3081</v>
      </c>
      <c r="Q57" s="53">
        <f>SUM(F57:I57)</f>
        <v>2191</v>
      </c>
    </row>
    <row r="58" spans="1:22" x14ac:dyDescent="0.25">
      <c r="A58" s="47"/>
      <c r="B58" s="47"/>
      <c r="C58" s="54"/>
      <c r="D58" s="54"/>
      <c r="E58" s="54"/>
      <c r="F58" s="54"/>
      <c r="G58" s="53"/>
      <c r="H58" s="53"/>
      <c r="I58" s="53"/>
      <c r="P58" s="53"/>
      <c r="Q58" s="53"/>
    </row>
    <row r="59" spans="1:22" x14ac:dyDescent="0.25">
      <c r="A59" s="55" t="s">
        <v>144</v>
      </c>
      <c r="B59" s="47"/>
      <c r="C59" s="54"/>
      <c r="D59" s="54"/>
      <c r="E59" s="54"/>
      <c r="F59" s="54"/>
      <c r="G59" s="53"/>
      <c r="H59" s="53"/>
      <c r="I59" s="53"/>
      <c r="P59" s="53"/>
      <c r="Q59" s="53"/>
    </row>
    <row r="60" spans="1:22" x14ac:dyDescent="0.25">
      <c r="A60" s="55" t="s">
        <v>145</v>
      </c>
      <c r="B60" s="67">
        <v>51</v>
      </c>
      <c r="C60" s="54">
        <v>29</v>
      </c>
      <c r="D60" s="54">
        <v>7</v>
      </c>
      <c r="E60" s="54">
        <v>8</v>
      </c>
      <c r="F60" s="68" t="s">
        <v>146</v>
      </c>
      <c r="G60" s="53">
        <v>9</v>
      </c>
      <c r="H60" s="53">
        <v>8</v>
      </c>
      <c r="I60" s="53">
        <v>8</v>
      </c>
      <c r="J60" s="53">
        <v>8</v>
      </c>
      <c r="P60" s="53">
        <f t="shared" si="1"/>
        <v>95</v>
      </c>
      <c r="Q60" s="53">
        <f>SUM(F60:I60)</f>
        <v>25</v>
      </c>
    </row>
    <row r="61" spans="1:22" x14ac:dyDescent="0.25">
      <c r="A61" s="55" t="s">
        <v>147</v>
      </c>
      <c r="B61" s="67">
        <v>273</v>
      </c>
      <c r="C61" s="54">
        <v>1693</v>
      </c>
      <c r="D61" s="54">
        <v>357</v>
      </c>
      <c r="E61" s="54">
        <v>1768</v>
      </c>
      <c r="F61" s="58">
        <v>160</v>
      </c>
      <c r="G61" s="53">
        <v>1014</v>
      </c>
      <c r="H61" s="53">
        <v>210</v>
      </c>
      <c r="I61" s="53">
        <v>1</v>
      </c>
      <c r="J61" s="53">
        <v>18</v>
      </c>
      <c r="P61" s="53">
        <f t="shared" si="1"/>
        <v>4091</v>
      </c>
      <c r="Q61" s="53">
        <f>SUM(F61:I61)</f>
        <v>1385</v>
      </c>
    </row>
    <row r="62" spans="1:22" x14ac:dyDescent="0.25">
      <c r="B62" s="55"/>
      <c r="C62" s="47"/>
      <c r="D62" s="55"/>
      <c r="E62" s="47"/>
      <c r="H62" s="53">
        <f t="shared" ref="H62" si="25">+X62-G62-F62</f>
        <v>0</v>
      </c>
      <c r="I62" s="47"/>
    </row>
    <row r="63" spans="1:22" x14ac:dyDescent="0.25">
      <c r="B63" s="55"/>
      <c r="C63" s="47"/>
      <c r="D63" s="55"/>
      <c r="E63" s="47"/>
      <c r="I63" s="47"/>
    </row>
    <row r="64" spans="1:22" x14ac:dyDescent="0.25">
      <c r="B64" s="55"/>
      <c r="C64" s="47"/>
      <c r="D64" s="55"/>
      <c r="E64" s="47"/>
      <c r="I64" s="47"/>
    </row>
    <row r="65" spans="2:9" x14ac:dyDescent="0.25">
      <c r="B65" s="55"/>
      <c r="C65" s="47"/>
      <c r="D65" s="55"/>
      <c r="E65" s="47"/>
      <c r="I65" s="47"/>
    </row>
    <row r="66" spans="2:9" x14ac:dyDescent="0.25">
      <c r="B66" s="55"/>
      <c r="C66" s="47"/>
      <c r="D66" s="55"/>
      <c r="E66" s="47"/>
      <c r="I66" s="47"/>
    </row>
    <row r="67" spans="2:9" x14ac:dyDescent="0.25">
      <c r="B67" s="55"/>
      <c r="C67" s="47"/>
      <c r="D67" s="55"/>
      <c r="E67" s="47"/>
      <c r="I67" s="47"/>
    </row>
    <row r="68" spans="2:9" x14ac:dyDescent="0.25">
      <c r="B68" s="55"/>
      <c r="C68" s="47"/>
      <c r="D68" s="55"/>
      <c r="E68" s="47"/>
      <c r="I68" s="47"/>
    </row>
    <row r="69" spans="2:9" x14ac:dyDescent="0.25">
      <c r="B69" s="55"/>
      <c r="C69" s="47"/>
      <c r="D69" s="55"/>
      <c r="E69" s="47"/>
      <c r="I69" s="47"/>
    </row>
    <row r="70" spans="2:9" x14ac:dyDescent="0.25">
      <c r="B70" s="55"/>
      <c r="C70" s="47"/>
      <c r="D70" s="55"/>
      <c r="E70" s="47"/>
      <c r="I70" s="47"/>
    </row>
    <row r="71" spans="2:9" x14ac:dyDescent="0.25">
      <c r="B71" s="55"/>
      <c r="C71" s="47"/>
      <c r="D71" s="55"/>
      <c r="E71" s="47"/>
      <c r="I71" s="47"/>
    </row>
    <row r="72" spans="2:9" x14ac:dyDescent="0.25">
      <c r="B72" s="55"/>
      <c r="C72" s="47"/>
      <c r="D72" s="55"/>
      <c r="E72" s="47"/>
      <c r="I72" s="47"/>
    </row>
    <row r="73" spans="2:9" x14ac:dyDescent="0.25">
      <c r="B73" s="55"/>
      <c r="C73" s="47"/>
      <c r="D73" s="55"/>
      <c r="E73" s="47"/>
      <c r="I73" s="47"/>
    </row>
    <row r="74" spans="2:9" x14ac:dyDescent="0.25">
      <c r="B74" s="55"/>
      <c r="C74" s="47"/>
      <c r="D74" s="55"/>
      <c r="E74" s="47"/>
      <c r="I74" s="47"/>
    </row>
    <row r="75" spans="2:9" x14ac:dyDescent="0.25">
      <c r="B75" s="55"/>
      <c r="C75" s="47"/>
      <c r="D75" s="55"/>
      <c r="E75" s="47"/>
      <c r="I75" s="47"/>
    </row>
    <row r="76" spans="2:9" x14ac:dyDescent="0.25">
      <c r="B76" s="55"/>
      <c r="C76" s="47"/>
      <c r="D76" s="55"/>
      <c r="E76" s="47"/>
      <c r="I76" s="47"/>
    </row>
    <row r="77" spans="2:9" x14ac:dyDescent="0.25">
      <c r="B77" s="55"/>
      <c r="C77" s="47"/>
      <c r="D77" s="55"/>
      <c r="E77" s="47"/>
      <c r="I77" s="47"/>
    </row>
    <row r="78" spans="2:9" x14ac:dyDescent="0.25">
      <c r="B78" s="55"/>
      <c r="C78" s="47"/>
      <c r="D78" s="55"/>
      <c r="E78" s="47"/>
      <c r="I78" s="47"/>
    </row>
    <row r="79" spans="2:9" x14ac:dyDescent="0.25">
      <c r="B79" s="55"/>
      <c r="C79" s="47"/>
      <c r="D79" s="55"/>
      <c r="E79" s="47"/>
      <c r="I79" s="47"/>
    </row>
    <row r="80" spans="2:9" x14ac:dyDescent="0.25">
      <c r="B80" s="55"/>
      <c r="C80" s="47"/>
      <c r="D80" s="55"/>
      <c r="E80" s="47"/>
      <c r="I80" s="47"/>
    </row>
    <row r="81" spans="2:9" x14ac:dyDescent="0.25">
      <c r="B81" s="55"/>
      <c r="C81" s="47"/>
      <c r="D81" s="55"/>
      <c r="E81" s="47"/>
      <c r="I81" s="47"/>
    </row>
    <row r="82" spans="2:9" x14ac:dyDescent="0.25">
      <c r="B82" s="55"/>
      <c r="C82" s="47"/>
      <c r="D82" s="55"/>
      <c r="E82" s="47"/>
      <c r="I82" s="47"/>
    </row>
    <row r="83" spans="2:9" x14ac:dyDescent="0.25">
      <c r="B83" s="55"/>
      <c r="C83" s="47"/>
      <c r="D83" s="55"/>
      <c r="E83" s="47"/>
      <c r="I83" s="47"/>
    </row>
    <row r="84" spans="2:9" x14ac:dyDescent="0.25">
      <c r="C84" s="47"/>
    </row>
    <row r="85" spans="2:9" x14ac:dyDescent="0.25">
      <c r="C85" s="47"/>
    </row>
    <row r="86" spans="2:9" x14ac:dyDescent="0.25">
      <c r="C86" s="47"/>
    </row>
    <row r="87" spans="2:9" x14ac:dyDescent="0.25">
      <c r="C87" s="47"/>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4"/>
  <sheetViews>
    <sheetView workbookViewId="0">
      <selection activeCell="H27" sqref="H27"/>
    </sheetView>
  </sheetViews>
  <sheetFormatPr defaultColWidth="8.7109375" defaultRowHeight="15" x14ac:dyDescent="0.25"/>
  <cols>
    <col min="1" max="1" width="42.85546875" style="46" customWidth="1"/>
    <col min="2" max="2" width="12.85546875" style="46" customWidth="1"/>
    <col min="3" max="3" width="12.28515625" style="46" customWidth="1"/>
    <col min="4" max="4" width="12.42578125" style="46" customWidth="1"/>
    <col min="5" max="5" width="12.5703125" style="46" customWidth="1"/>
    <col min="6" max="6" width="11.5703125" style="46" customWidth="1"/>
    <col min="7" max="7" width="9.5703125" style="46" bestFit="1" customWidth="1"/>
    <col min="8" max="8" width="11" style="46" customWidth="1"/>
    <col min="9" max="9" width="10.5703125" style="46" customWidth="1"/>
    <col min="10" max="10" width="9.5703125" style="46" bestFit="1" customWidth="1"/>
    <col min="11" max="11" width="10.7109375" style="46" customWidth="1"/>
    <col min="12" max="13" width="9.5703125" style="46" bestFit="1" customWidth="1"/>
    <col min="14" max="14" width="17.85546875" style="46" customWidth="1"/>
    <col min="15" max="15" width="11.5703125" style="46" customWidth="1"/>
    <col min="16" max="16384" width="8.7109375" style="46"/>
  </cols>
  <sheetData>
    <row r="2" spans="1:11" x14ac:dyDescent="0.25">
      <c r="A2" s="46" t="s">
        <v>113</v>
      </c>
    </row>
    <row r="4" spans="1:11" x14ac:dyDescent="0.25">
      <c r="A4" s="55" t="s">
        <v>24</v>
      </c>
      <c r="B4" s="55"/>
    </row>
    <row r="5" spans="1:11" x14ac:dyDescent="0.25">
      <c r="A5" s="55" t="s">
        <v>84</v>
      </c>
      <c r="B5" s="55"/>
      <c r="C5" s="55"/>
      <c r="D5" s="55"/>
      <c r="E5" s="55"/>
      <c r="F5" s="47"/>
    </row>
    <row r="6" spans="1:11" x14ac:dyDescent="0.25">
      <c r="A6" s="55" t="s">
        <v>3</v>
      </c>
      <c r="B6" s="55"/>
      <c r="C6" s="55"/>
      <c r="D6" s="55"/>
      <c r="E6" s="55"/>
      <c r="F6" s="47"/>
    </row>
    <row r="7" spans="1:11" x14ac:dyDescent="0.25">
      <c r="A7" s="47"/>
      <c r="B7" s="48" t="s">
        <v>65</v>
      </c>
      <c r="C7" s="48" t="s">
        <v>65</v>
      </c>
      <c r="D7" s="48" t="s">
        <v>65</v>
      </c>
      <c r="E7" s="48" t="s">
        <v>65</v>
      </c>
      <c r="F7" s="48" t="s">
        <v>65</v>
      </c>
      <c r="G7" s="48" t="s">
        <v>65</v>
      </c>
      <c r="H7" s="48" t="s">
        <v>65</v>
      </c>
      <c r="I7" s="48" t="s">
        <v>65</v>
      </c>
      <c r="J7" s="48" t="s">
        <v>65</v>
      </c>
      <c r="K7" s="48" t="s">
        <v>65</v>
      </c>
    </row>
    <row r="8" spans="1:11" x14ac:dyDescent="0.25">
      <c r="A8" s="55" t="s">
        <v>1</v>
      </c>
      <c r="B8" s="49" t="s">
        <v>33</v>
      </c>
      <c r="C8" s="50" t="s">
        <v>36</v>
      </c>
      <c r="D8" s="50" t="s">
        <v>37</v>
      </c>
      <c r="E8" s="50" t="s">
        <v>38</v>
      </c>
      <c r="F8" s="49" t="s">
        <v>33</v>
      </c>
      <c r="G8" s="50" t="s">
        <v>36</v>
      </c>
      <c r="H8" s="50" t="s">
        <v>37</v>
      </c>
      <c r="I8" s="50" t="s">
        <v>38</v>
      </c>
      <c r="J8" s="49" t="s">
        <v>33</v>
      </c>
      <c r="K8" s="49" t="s">
        <v>36</v>
      </c>
    </row>
    <row r="9" spans="1:11" x14ac:dyDescent="0.25">
      <c r="A9" s="55" t="s">
        <v>1</v>
      </c>
      <c r="B9" s="51" t="s">
        <v>112</v>
      </c>
      <c r="C9" s="51" t="s">
        <v>34</v>
      </c>
      <c r="D9" s="51" t="s">
        <v>34</v>
      </c>
      <c r="E9" s="51" t="s">
        <v>34</v>
      </c>
      <c r="F9" s="51" t="s">
        <v>34</v>
      </c>
      <c r="G9" s="51" t="s">
        <v>39</v>
      </c>
      <c r="H9" s="51" t="s">
        <v>39</v>
      </c>
      <c r="I9" s="51" t="s">
        <v>39</v>
      </c>
      <c r="J9" s="51" t="s">
        <v>39</v>
      </c>
      <c r="K9" s="51" t="s">
        <v>50</v>
      </c>
    </row>
    <row r="10" spans="1:11" x14ac:dyDescent="0.25">
      <c r="A10" s="55"/>
      <c r="B10" s="55"/>
      <c r="C10" s="55"/>
      <c r="D10" s="55"/>
      <c r="E10" s="55"/>
      <c r="F10" s="47"/>
      <c r="J10" s="47"/>
    </row>
    <row r="11" spans="1:11" x14ac:dyDescent="0.25">
      <c r="A11" s="55" t="s">
        <v>85</v>
      </c>
      <c r="B11" s="55"/>
      <c r="C11" s="55"/>
      <c r="D11" s="55"/>
      <c r="E11" s="55"/>
      <c r="F11" s="47"/>
      <c r="J11" s="47"/>
    </row>
    <row r="12" spans="1:11" x14ac:dyDescent="0.25">
      <c r="A12" s="55" t="s">
        <v>86</v>
      </c>
      <c r="B12" s="52">
        <v>3815</v>
      </c>
      <c r="C12" s="56">
        <v>6779</v>
      </c>
      <c r="D12" s="52">
        <v>7634</v>
      </c>
      <c r="E12" s="52">
        <v>10598</v>
      </c>
      <c r="F12" s="56">
        <v>8529</v>
      </c>
      <c r="G12" s="56">
        <v>4824</v>
      </c>
      <c r="H12" s="56">
        <v>13769</v>
      </c>
      <c r="I12" s="57">
        <v>13944</v>
      </c>
      <c r="J12" s="56">
        <v>13694</v>
      </c>
      <c r="K12" s="56">
        <v>14182</v>
      </c>
    </row>
    <row r="13" spans="1:11" x14ac:dyDescent="0.25">
      <c r="A13" s="55" t="s">
        <v>87</v>
      </c>
      <c r="B13" s="53">
        <v>922</v>
      </c>
      <c r="C13" s="58">
        <v>732</v>
      </c>
      <c r="D13" s="53">
        <v>684</v>
      </c>
      <c r="E13" s="53">
        <v>658</v>
      </c>
      <c r="F13" s="58">
        <v>1118</v>
      </c>
      <c r="G13" s="58">
        <v>1103</v>
      </c>
      <c r="H13" s="58">
        <v>844</v>
      </c>
      <c r="I13" s="59">
        <v>773</v>
      </c>
      <c r="J13" s="58">
        <v>1132</v>
      </c>
      <c r="K13" s="117">
        <v>1097</v>
      </c>
    </row>
    <row r="14" spans="1:11" x14ac:dyDescent="0.25">
      <c r="A14" s="55" t="s">
        <v>88</v>
      </c>
      <c r="B14" s="53">
        <v>4164</v>
      </c>
      <c r="C14" s="58">
        <v>2079</v>
      </c>
      <c r="D14" s="53">
        <v>2079</v>
      </c>
      <c r="E14" s="53">
        <v>1019</v>
      </c>
      <c r="F14" s="58">
        <v>2756</v>
      </c>
      <c r="G14" s="58">
        <v>3750</v>
      </c>
      <c r="H14" s="58">
        <v>4433</v>
      </c>
      <c r="I14" s="59">
        <v>3770</v>
      </c>
      <c r="J14" s="58">
        <v>4022</v>
      </c>
      <c r="K14" s="117">
        <v>5277</v>
      </c>
    </row>
    <row r="15" spans="1:11" x14ac:dyDescent="0.25">
      <c r="A15" s="55" t="s">
        <v>89</v>
      </c>
      <c r="B15" s="53">
        <v>926</v>
      </c>
      <c r="C15" s="58">
        <v>905</v>
      </c>
      <c r="D15" s="53">
        <v>1043</v>
      </c>
      <c r="E15" s="53">
        <v>1012</v>
      </c>
      <c r="F15" s="58">
        <v>1194</v>
      </c>
      <c r="G15" s="58">
        <v>1078</v>
      </c>
      <c r="H15" s="58">
        <v>1217</v>
      </c>
      <c r="I15" s="59">
        <v>1208</v>
      </c>
      <c r="J15" s="58">
        <v>1451</v>
      </c>
      <c r="K15" s="117">
        <v>1201</v>
      </c>
    </row>
    <row r="16" spans="1:11" x14ac:dyDescent="0.25">
      <c r="A16" s="55" t="s">
        <v>90</v>
      </c>
      <c r="B16" s="53"/>
      <c r="C16" s="58"/>
      <c r="D16" s="53"/>
      <c r="E16" s="53"/>
      <c r="F16" s="58">
        <v>987</v>
      </c>
      <c r="G16" s="58">
        <v>0</v>
      </c>
      <c r="H16" s="58"/>
      <c r="I16" s="59">
        <v>3389</v>
      </c>
      <c r="J16" s="58">
        <v>2183</v>
      </c>
      <c r="K16" s="117">
        <v>1442</v>
      </c>
    </row>
    <row r="17" spans="1:11" x14ac:dyDescent="0.25">
      <c r="A17" s="55" t="s">
        <v>91</v>
      </c>
      <c r="B17" s="53">
        <v>3087</v>
      </c>
      <c r="C17" s="58">
        <v>2303</v>
      </c>
      <c r="D17" s="53">
        <v>3662</v>
      </c>
      <c r="E17" s="53">
        <v>3899</v>
      </c>
      <c r="F17" s="58">
        <v>2639</v>
      </c>
      <c r="G17" s="58">
        <v>3932</v>
      </c>
      <c r="H17" s="58">
        <v>4873</v>
      </c>
      <c r="I17" s="59">
        <v>4823</v>
      </c>
      <c r="J17" s="58">
        <v>5207</v>
      </c>
      <c r="K17" s="117">
        <v>5190</v>
      </c>
    </row>
    <row r="18" spans="1:11" x14ac:dyDescent="0.25">
      <c r="A18" s="55" t="s">
        <v>92</v>
      </c>
      <c r="B18" s="58">
        <f t="shared" ref="B18:E18" si="0">SUM(B12:B17)</f>
        <v>12914</v>
      </c>
      <c r="C18" s="58">
        <f t="shared" si="0"/>
        <v>12798</v>
      </c>
      <c r="D18" s="58">
        <f t="shared" si="0"/>
        <v>15102</v>
      </c>
      <c r="E18" s="58">
        <f t="shared" si="0"/>
        <v>17186</v>
      </c>
      <c r="F18" s="58">
        <f>SUM(F12:F17)</f>
        <v>17223</v>
      </c>
      <c r="G18" s="58">
        <f t="shared" ref="G18:J18" si="1">SUM(G12:G17)</f>
        <v>14687</v>
      </c>
      <c r="H18" s="58">
        <f t="shared" si="1"/>
        <v>25136</v>
      </c>
      <c r="I18" s="58">
        <f t="shared" si="1"/>
        <v>27907</v>
      </c>
      <c r="J18" s="58">
        <f t="shared" si="1"/>
        <v>27689</v>
      </c>
      <c r="K18" s="117">
        <v>28389</v>
      </c>
    </row>
    <row r="19" spans="1:11" x14ac:dyDescent="0.25">
      <c r="A19" s="55" t="s">
        <v>93</v>
      </c>
      <c r="B19" s="53">
        <v>118807</v>
      </c>
      <c r="C19" s="58">
        <v>122199</v>
      </c>
      <c r="D19" s="53">
        <v>125003</v>
      </c>
      <c r="E19" s="53">
        <v>130236</v>
      </c>
      <c r="F19" s="58">
        <v>136493</v>
      </c>
      <c r="G19" s="58">
        <v>144054</v>
      </c>
      <c r="H19" s="58">
        <v>152472</v>
      </c>
      <c r="I19" s="59">
        <v>159036</v>
      </c>
      <c r="J19" s="58">
        <v>165150</v>
      </c>
      <c r="K19" s="117">
        <v>170929</v>
      </c>
    </row>
    <row r="20" spans="1:11" x14ac:dyDescent="0.25">
      <c r="A20" s="55" t="s">
        <v>94</v>
      </c>
      <c r="B20" s="53">
        <v>1522</v>
      </c>
      <c r="C20" s="58">
        <v>1470</v>
      </c>
      <c r="D20" s="53">
        <v>1515</v>
      </c>
      <c r="E20" s="53">
        <v>1669</v>
      </c>
      <c r="F20" s="58">
        <v>1763</v>
      </c>
      <c r="G20" s="58">
        <v>1811</v>
      </c>
      <c r="H20" s="58">
        <v>1841</v>
      </c>
      <c r="I20" s="59">
        <v>1844</v>
      </c>
      <c r="J20" s="58">
        <v>1920</v>
      </c>
      <c r="K20" s="117">
        <v>2009</v>
      </c>
    </row>
    <row r="21" spans="1:11" x14ac:dyDescent="0.25">
      <c r="A21" s="55" t="s">
        <v>95</v>
      </c>
      <c r="B21" s="53">
        <v>21900</v>
      </c>
      <c r="C21" s="58">
        <v>21900</v>
      </c>
      <c r="D21" s="53">
        <v>21900</v>
      </c>
      <c r="E21" s="53">
        <v>21900</v>
      </c>
      <c r="F21" s="58">
        <v>21900</v>
      </c>
      <c r="G21" s="58">
        <v>21900</v>
      </c>
      <c r="H21" s="58">
        <v>21900</v>
      </c>
      <c r="I21" s="59">
        <v>21900</v>
      </c>
      <c r="J21" s="58">
        <v>21900</v>
      </c>
      <c r="K21" s="117">
        <v>21900</v>
      </c>
    </row>
    <row r="22" spans="1:11" x14ac:dyDescent="0.25">
      <c r="A22" s="55" t="s">
        <v>96</v>
      </c>
      <c r="B22" s="53">
        <v>24069</v>
      </c>
      <c r="C22" s="58">
        <v>24069</v>
      </c>
      <c r="D22" s="53">
        <v>24069</v>
      </c>
      <c r="E22" s="53">
        <v>24069</v>
      </c>
      <c r="F22" s="58">
        <v>24069</v>
      </c>
      <c r="G22" s="58">
        <v>24069</v>
      </c>
      <c r="H22" s="58">
        <v>24069</v>
      </c>
      <c r="I22" s="59">
        <v>24069</v>
      </c>
      <c r="J22" s="58">
        <v>24069</v>
      </c>
      <c r="K22" s="117">
        <v>24069</v>
      </c>
    </row>
    <row r="23" spans="1:11" x14ac:dyDescent="0.25">
      <c r="A23" s="55" t="s">
        <v>97</v>
      </c>
      <c r="B23" s="56">
        <f t="shared" ref="B23:E23" si="2">SUM(B18:B22)</f>
        <v>179212</v>
      </c>
      <c r="C23" s="56">
        <f t="shared" si="2"/>
        <v>182436</v>
      </c>
      <c r="D23" s="56">
        <f t="shared" si="2"/>
        <v>187589</v>
      </c>
      <c r="E23" s="56">
        <f t="shared" si="2"/>
        <v>195060</v>
      </c>
      <c r="F23" s="56">
        <f>SUM(F18:F22)</f>
        <v>201448</v>
      </c>
      <c r="G23" s="56">
        <f t="shared" ref="G23:K23" si="3">SUM(G18:G22)</f>
        <v>206521</v>
      </c>
      <c r="H23" s="56">
        <f t="shared" si="3"/>
        <v>225418</v>
      </c>
      <c r="I23" s="56">
        <f t="shared" si="3"/>
        <v>234756</v>
      </c>
      <c r="J23" s="56">
        <f t="shared" si="3"/>
        <v>240728</v>
      </c>
      <c r="K23" s="56">
        <f t="shared" si="3"/>
        <v>247296</v>
      </c>
    </row>
    <row r="24" spans="1:11" x14ac:dyDescent="0.25">
      <c r="A24" s="55"/>
      <c r="C24" s="55"/>
      <c r="F24" s="47"/>
      <c r="G24" s="47"/>
      <c r="H24" s="55"/>
      <c r="I24" s="60"/>
      <c r="J24" s="47"/>
    </row>
    <row r="25" spans="1:11" x14ac:dyDescent="0.25">
      <c r="A25" s="55" t="s">
        <v>98</v>
      </c>
      <c r="C25" s="55"/>
      <c r="F25" s="47"/>
      <c r="G25" s="47"/>
      <c r="H25" s="55"/>
      <c r="I25" s="60"/>
      <c r="J25" s="47"/>
    </row>
    <row r="26" spans="1:11" x14ac:dyDescent="0.25">
      <c r="A26" s="55" t="s">
        <v>99</v>
      </c>
      <c r="B26" s="52">
        <v>5921</v>
      </c>
      <c r="C26" s="56">
        <v>4437</v>
      </c>
      <c r="D26" s="52">
        <v>6258</v>
      </c>
      <c r="E26" s="52">
        <v>6121</v>
      </c>
      <c r="F26" s="56">
        <v>7294</v>
      </c>
      <c r="G26" s="56">
        <v>6679</v>
      </c>
      <c r="H26" s="56">
        <v>9369</v>
      </c>
      <c r="I26" s="57">
        <v>7919</v>
      </c>
      <c r="J26" s="56">
        <v>8014</v>
      </c>
      <c r="K26" s="56">
        <v>8622</v>
      </c>
    </row>
    <row r="27" spans="1:11" x14ac:dyDescent="0.25">
      <c r="A27" s="55" t="s">
        <v>100</v>
      </c>
      <c r="B27" s="53">
        <v>10397</v>
      </c>
      <c r="C27" s="58">
        <v>10457</v>
      </c>
      <c r="D27" s="53">
        <v>13602</v>
      </c>
      <c r="E27" s="53">
        <v>13726</v>
      </c>
      <c r="F27" s="58">
        <v>15861</v>
      </c>
      <c r="G27" s="58">
        <v>12629</v>
      </c>
      <c r="H27" s="58">
        <v>18501</v>
      </c>
      <c r="I27" s="59">
        <v>16276</v>
      </c>
      <c r="J27" s="58">
        <v>17757</v>
      </c>
      <c r="K27" s="58">
        <v>16022</v>
      </c>
    </row>
    <row r="28" spans="1:11" x14ac:dyDescent="0.25">
      <c r="A28" s="55" t="s">
        <v>101</v>
      </c>
      <c r="B28" s="53">
        <v>1419</v>
      </c>
      <c r="C28" s="58">
        <v>1419</v>
      </c>
      <c r="D28" s="53">
        <v>1689</v>
      </c>
      <c r="E28" s="53">
        <v>1717</v>
      </c>
      <c r="F28" s="58">
        <v>1853</v>
      </c>
      <c r="G28" s="58">
        <v>1976</v>
      </c>
      <c r="H28" s="58">
        <v>2079</v>
      </c>
      <c r="I28" s="59">
        <v>2201</v>
      </c>
      <c r="J28" s="58">
        <v>2335</v>
      </c>
      <c r="K28" s="58">
        <v>2411</v>
      </c>
    </row>
    <row r="29" spans="1:11" x14ac:dyDescent="0.25">
      <c r="A29" s="46" t="s">
        <v>114</v>
      </c>
      <c r="B29" s="53">
        <v>231</v>
      </c>
      <c r="C29" s="58">
        <v>231</v>
      </c>
      <c r="D29" s="53">
        <v>231</v>
      </c>
      <c r="E29" s="53">
        <v>231</v>
      </c>
      <c r="F29" s="58"/>
      <c r="G29" s="58"/>
      <c r="H29" s="58"/>
      <c r="I29" s="59"/>
      <c r="J29" s="58"/>
    </row>
    <row r="30" spans="1:11" x14ac:dyDescent="0.25">
      <c r="A30" s="55" t="s">
        <v>102</v>
      </c>
      <c r="B30" s="58">
        <f>SUM(B26:B29)</f>
        <v>17968</v>
      </c>
      <c r="C30" s="58">
        <f t="shared" ref="C30:J30" si="4">SUM(C26:C29)</f>
        <v>16544</v>
      </c>
      <c r="D30" s="58">
        <f t="shared" si="4"/>
        <v>21780</v>
      </c>
      <c r="E30" s="58">
        <f t="shared" si="4"/>
        <v>21795</v>
      </c>
      <c r="F30" s="58">
        <f t="shared" si="4"/>
        <v>25008</v>
      </c>
      <c r="G30" s="58">
        <f t="shared" si="4"/>
        <v>21284</v>
      </c>
      <c r="H30" s="58">
        <f t="shared" si="4"/>
        <v>29949</v>
      </c>
      <c r="I30" s="58">
        <f t="shared" si="4"/>
        <v>26396</v>
      </c>
      <c r="J30" s="58">
        <f t="shared" si="4"/>
        <v>28106</v>
      </c>
      <c r="K30" s="53">
        <v>27055</v>
      </c>
    </row>
    <row r="31" spans="1:11" x14ac:dyDescent="0.25">
      <c r="A31" s="55" t="s">
        <v>103</v>
      </c>
      <c r="B31" s="53">
        <v>6976</v>
      </c>
      <c r="C31" s="58">
        <v>8352</v>
      </c>
      <c r="D31" s="53">
        <v>9260</v>
      </c>
      <c r="E31" s="53">
        <v>10948</v>
      </c>
      <c r="F31" s="58">
        <v>10281</v>
      </c>
      <c r="G31" s="58">
        <v>11987</v>
      </c>
      <c r="H31" s="58">
        <v>10385</v>
      </c>
      <c r="I31" s="59">
        <v>14739</v>
      </c>
      <c r="J31" s="58">
        <v>13769</v>
      </c>
      <c r="K31" s="58">
        <v>14905</v>
      </c>
    </row>
    <row r="32" spans="1:11" x14ac:dyDescent="0.25">
      <c r="A32" s="55" t="s">
        <v>104</v>
      </c>
      <c r="B32" s="53">
        <v>5252</v>
      </c>
      <c r="C32" s="58">
        <v>5645</v>
      </c>
      <c r="D32" s="53">
        <v>6027</v>
      </c>
      <c r="E32" s="53">
        <v>6487</v>
      </c>
      <c r="F32" s="58">
        <v>6908</v>
      </c>
      <c r="G32" s="58">
        <v>7532</v>
      </c>
      <c r="H32" s="58">
        <v>8115</v>
      </c>
      <c r="I32" s="59">
        <v>8807</v>
      </c>
      <c r="J32" s="58">
        <v>9169</v>
      </c>
      <c r="K32" s="58">
        <v>9693</v>
      </c>
    </row>
    <row r="33" spans="1:11" x14ac:dyDescent="0.25">
      <c r="A33" s="55" t="s">
        <v>105</v>
      </c>
      <c r="B33" s="53">
        <v>22078</v>
      </c>
      <c r="C33" s="58">
        <v>21687</v>
      </c>
      <c r="D33" s="53">
        <v>22914</v>
      </c>
      <c r="E33" s="53">
        <v>23625</v>
      </c>
      <c r="F33" s="58">
        <v>26194</v>
      </c>
      <c r="G33" s="58">
        <v>27677</v>
      </c>
      <c r="H33" s="58">
        <v>29163</v>
      </c>
      <c r="I33" s="59">
        <v>30944</v>
      </c>
      <c r="J33" s="58">
        <v>32619</v>
      </c>
      <c r="K33" s="58">
        <v>33775</v>
      </c>
    </row>
    <row r="34" spans="1:11" x14ac:dyDescent="0.25">
      <c r="A34" s="55" t="s">
        <v>106</v>
      </c>
      <c r="B34" s="53">
        <v>8750</v>
      </c>
      <c r="C34" s="58">
        <v>8500</v>
      </c>
      <c r="D34" s="53">
        <v>0</v>
      </c>
      <c r="E34" s="53">
        <v>0</v>
      </c>
      <c r="F34" s="58">
        <v>0</v>
      </c>
      <c r="G34" s="53"/>
      <c r="H34" s="58"/>
      <c r="I34" s="53"/>
      <c r="J34" s="58">
        <v>0</v>
      </c>
      <c r="K34" s="58">
        <v>0</v>
      </c>
    </row>
    <row r="35" spans="1:11" x14ac:dyDescent="0.25">
      <c r="A35" s="55" t="s">
        <v>107</v>
      </c>
      <c r="B35" s="58">
        <f t="shared" ref="B35:E35" si="5">SUM(B30:B34)</f>
        <v>61024</v>
      </c>
      <c r="C35" s="58">
        <f t="shared" si="5"/>
        <v>60728</v>
      </c>
      <c r="D35" s="58">
        <f t="shared" si="5"/>
        <v>59981</v>
      </c>
      <c r="E35" s="58">
        <f t="shared" si="5"/>
        <v>62855</v>
      </c>
      <c r="F35" s="58">
        <f>SUM(F30:F34)</f>
        <v>68391</v>
      </c>
      <c r="G35" s="58">
        <f t="shared" ref="G35:K35" si="6">SUM(G30:G34)</f>
        <v>68480</v>
      </c>
      <c r="H35" s="58">
        <f t="shared" si="6"/>
        <v>77612</v>
      </c>
      <c r="I35" s="58">
        <f t="shared" si="6"/>
        <v>80886</v>
      </c>
      <c r="J35" s="58">
        <f t="shared" si="6"/>
        <v>83663</v>
      </c>
      <c r="K35" s="58">
        <f t="shared" si="6"/>
        <v>85428</v>
      </c>
    </row>
    <row r="36" spans="1:11" x14ac:dyDescent="0.25">
      <c r="A36" s="47"/>
      <c r="C36" s="54"/>
      <c r="D36" s="53"/>
      <c r="E36" s="53"/>
      <c r="F36" s="54"/>
      <c r="G36" s="54"/>
      <c r="H36" s="54"/>
      <c r="I36" s="59"/>
      <c r="J36" s="54"/>
    </row>
    <row r="37" spans="1:11" x14ac:dyDescent="0.25">
      <c r="A37" s="55"/>
      <c r="C37" s="58"/>
      <c r="D37" s="53"/>
      <c r="E37" s="53"/>
      <c r="F37" s="54"/>
      <c r="G37" s="53"/>
      <c r="H37" s="58"/>
      <c r="I37" s="59"/>
      <c r="J37" s="54"/>
    </row>
    <row r="38" spans="1:11" x14ac:dyDescent="0.25">
      <c r="A38" s="55" t="s">
        <v>162</v>
      </c>
      <c r="B38" s="53">
        <v>164</v>
      </c>
      <c r="C38" s="58">
        <v>165</v>
      </c>
      <c r="D38" s="53">
        <v>165</v>
      </c>
      <c r="E38" s="53">
        <v>165</v>
      </c>
      <c r="F38" s="58">
        <v>165</v>
      </c>
      <c r="G38" s="58">
        <v>165</v>
      </c>
      <c r="H38" s="58">
        <v>168</v>
      </c>
      <c r="I38" s="59">
        <v>168</v>
      </c>
      <c r="J38" s="58">
        <v>168</v>
      </c>
      <c r="K38" s="58">
        <v>169</v>
      </c>
    </row>
    <row r="39" spans="1:11" x14ac:dyDescent="0.25">
      <c r="A39" s="55" t="s">
        <v>163</v>
      </c>
      <c r="B39" s="53">
        <v>0</v>
      </c>
      <c r="C39" s="58">
        <v>0</v>
      </c>
      <c r="D39" s="53">
        <v>0</v>
      </c>
      <c r="E39" s="53">
        <v>0</v>
      </c>
      <c r="F39" s="58">
        <v>0</v>
      </c>
      <c r="G39" s="58">
        <v>0</v>
      </c>
      <c r="H39" s="58"/>
      <c r="I39" s="59">
        <v>0</v>
      </c>
      <c r="J39" s="58">
        <v>0</v>
      </c>
    </row>
    <row r="40" spans="1:11" x14ac:dyDescent="0.25">
      <c r="A40" s="55" t="s">
        <v>108</v>
      </c>
      <c r="B40" s="53">
        <v>88467</v>
      </c>
      <c r="C40" s="58">
        <v>88751</v>
      </c>
      <c r="D40" s="53">
        <v>89278</v>
      </c>
      <c r="E40" s="53">
        <v>89806</v>
      </c>
      <c r="F40" s="58">
        <v>90439</v>
      </c>
      <c r="G40" s="58">
        <v>90891</v>
      </c>
      <c r="H40" s="58">
        <v>94873</v>
      </c>
      <c r="I40" s="59">
        <v>96338</v>
      </c>
      <c r="J40" s="58">
        <v>97200</v>
      </c>
      <c r="K40" s="58">
        <v>97452</v>
      </c>
    </row>
    <row r="41" spans="1:11" x14ac:dyDescent="0.25">
      <c r="A41" s="55" t="s">
        <v>109</v>
      </c>
      <c r="B41" s="53">
        <v>29557</v>
      </c>
      <c r="C41" s="58">
        <v>32792</v>
      </c>
      <c r="D41" s="53">
        <v>38165</v>
      </c>
      <c r="E41" s="53">
        <v>42234</v>
      </c>
      <c r="F41" s="58">
        <v>42453</v>
      </c>
      <c r="G41" s="58">
        <v>46985</v>
      </c>
      <c r="H41" s="58">
        <v>52765</v>
      </c>
      <c r="I41" s="59">
        <v>57364</v>
      </c>
      <c r="J41" s="58">
        <v>59697</v>
      </c>
      <c r="K41" s="58">
        <v>64247</v>
      </c>
    </row>
    <row r="42" spans="1:11" x14ac:dyDescent="0.25">
      <c r="A42" s="55" t="s">
        <v>110</v>
      </c>
      <c r="B42" s="53">
        <v>118188</v>
      </c>
      <c r="C42" s="58">
        <v>121708</v>
      </c>
      <c r="D42" s="53">
        <v>127608</v>
      </c>
      <c r="E42" s="53">
        <v>132205</v>
      </c>
      <c r="F42" s="58">
        <f t="shared" ref="F42:K42" si="7">SUM(F37:F41)</f>
        <v>133057</v>
      </c>
      <c r="G42" s="58">
        <f t="shared" si="7"/>
        <v>138041</v>
      </c>
      <c r="H42" s="58">
        <f t="shared" si="7"/>
        <v>147806</v>
      </c>
      <c r="I42" s="58">
        <f t="shared" si="7"/>
        <v>153870</v>
      </c>
      <c r="J42" s="58">
        <f t="shared" si="7"/>
        <v>157065</v>
      </c>
      <c r="K42" s="58">
        <f t="shared" si="7"/>
        <v>161868</v>
      </c>
    </row>
    <row r="43" spans="1:11" x14ac:dyDescent="0.25">
      <c r="A43" s="55" t="s">
        <v>111</v>
      </c>
      <c r="B43" s="56">
        <f t="shared" ref="B43:J43" si="8">+B35+B42</f>
        <v>179212</v>
      </c>
      <c r="C43" s="56">
        <f t="shared" si="8"/>
        <v>182436</v>
      </c>
      <c r="D43" s="56">
        <f t="shared" si="8"/>
        <v>187589</v>
      </c>
      <c r="E43" s="56">
        <f t="shared" si="8"/>
        <v>195060</v>
      </c>
      <c r="F43" s="56">
        <f t="shared" si="8"/>
        <v>201448</v>
      </c>
      <c r="G43" s="56">
        <f t="shared" si="8"/>
        <v>206521</v>
      </c>
      <c r="H43" s="56">
        <f t="shared" si="8"/>
        <v>225418</v>
      </c>
      <c r="I43" s="56">
        <f t="shared" si="8"/>
        <v>234756</v>
      </c>
      <c r="J43" s="56">
        <f t="shared" si="8"/>
        <v>240728</v>
      </c>
      <c r="K43" s="56">
        <f t="shared" ref="K43" si="9">+K35+K42</f>
        <v>247296</v>
      </c>
    </row>
    <row r="45" spans="1:11" x14ac:dyDescent="0.25">
      <c r="B45" s="52">
        <f t="shared" ref="B45:K45" si="10">+B23-B43</f>
        <v>0</v>
      </c>
      <c r="C45" s="52">
        <f t="shared" si="10"/>
        <v>0</v>
      </c>
      <c r="D45" s="52">
        <f t="shared" si="10"/>
        <v>0</v>
      </c>
      <c r="E45" s="52">
        <f t="shared" si="10"/>
        <v>0</v>
      </c>
      <c r="F45" s="52">
        <f t="shared" si="10"/>
        <v>0</v>
      </c>
      <c r="G45" s="52">
        <f t="shared" si="10"/>
        <v>0</v>
      </c>
      <c r="H45" s="52">
        <f t="shared" si="10"/>
        <v>0</v>
      </c>
      <c r="I45" s="52">
        <f t="shared" si="10"/>
        <v>0</v>
      </c>
      <c r="J45" s="52">
        <f t="shared" si="10"/>
        <v>0</v>
      </c>
      <c r="K45" s="52">
        <f t="shared" si="10"/>
        <v>0</v>
      </c>
    </row>
    <row r="49" spans="1:3" x14ac:dyDescent="0.25">
      <c r="A49" s="46" t="s">
        <v>150</v>
      </c>
      <c r="C49" s="53">
        <f>+B19</f>
        <v>118807</v>
      </c>
    </row>
    <row r="50" spans="1:3" x14ac:dyDescent="0.25">
      <c r="A50" s="46" t="s">
        <v>149</v>
      </c>
      <c r="C50" s="53">
        <f>-'CF by Qtr'!B15</f>
        <v>-2998</v>
      </c>
    </row>
    <row r="52" spans="1:3" x14ac:dyDescent="0.25">
      <c r="A52" s="46" t="s">
        <v>151</v>
      </c>
      <c r="C52" s="53">
        <f>+C19</f>
        <v>122199</v>
      </c>
    </row>
    <row r="54" spans="1:3" x14ac:dyDescent="0.25">
      <c r="C54" s="53">
        <f>+C49+C50-C52</f>
        <v>-6390</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2"/>
  <sheetViews>
    <sheetView workbookViewId="0">
      <pane xSplit="1" ySplit="10" topLeftCell="G11" activePane="bottomRight" state="frozen"/>
      <selection pane="topRight" activeCell="B1" sqref="B1"/>
      <selection pane="bottomLeft" activeCell="A11" sqref="A11"/>
      <selection pane="bottomRight" activeCell="R9" sqref="R9:S30"/>
    </sheetView>
  </sheetViews>
  <sheetFormatPr defaultColWidth="9.140625" defaultRowHeight="15" x14ac:dyDescent="0.25"/>
  <cols>
    <col min="1" max="1" width="43.85546875" style="46" customWidth="1"/>
    <col min="2" max="2" width="16.28515625" style="46" customWidth="1"/>
    <col min="3" max="4" width="14.7109375" style="46" customWidth="1"/>
    <col min="5" max="5" width="11.42578125" style="46" customWidth="1"/>
    <col min="6" max="6" width="14" style="46" customWidth="1"/>
    <col min="7" max="7" width="13.85546875" style="46" customWidth="1"/>
    <col min="8" max="8" width="13.7109375" style="46" customWidth="1"/>
    <col min="9" max="9" width="13.42578125" style="46" customWidth="1"/>
    <col min="10" max="12" width="12.85546875" style="46" customWidth="1"/>
    <col min="13" max="13" width="9.140625" style="46"/>
    <col min="14" max="14" width="14.140625" style="46" customWidth="1"/>
    <col min="15" max="15" width="12.28515625" style="46" customWidth="1"/>
    <col min="16" max="17" width="9.140625" style="46"/>
    <col min="18" max="18" width="21" style="46" customWidth="1"/>
    <col min="19" max="19" width="10.7109375" style="46" bestFit="1" customWidth="1"/>
    <col min="20" max="16384" width="9.140625" style="46"/>
  </cols>
  <sheetData>
    <row r="1" spans="1:35" x14ac:dyDescent="0.25">
      <c r="A1" s="46" t="s">
        <v>0</v>
      </c>
    </row>
    <row r="8" spans="1:35" x14ac:dyDescent="0.25">
      <c r="A8" s="47"/>
      <c r="B8" s="48" t="s">
        <v>65</v>
      </c>
      <c r="C8" s="48" t="s">
        <v>65</v>
      </c>
      <c r="D8" s="48" t="s">
        <v>65</v>
      </c>
      <c r="E8" s="48" t="s">
        <v>65</v>
      </c>
      <c r="F8" s="48" t="s">
        <v>65</v>
      </c>
      <c r="G8" s="48" t="s">
        <v>65</v>
      </c>
      <c r="H8" s="48" t="s">
        <v>65</v>
      </c>
      <c r="I8" s="48" t="s">
        <v>65</v>
      </c>
      <c r="J8" s="48" t="s">
        <v>65</v>
      </c>
      <c r="K8" s="48"/>
      <c r="L8" s="48"/>
      <c r="N8" s="48" t="s">
        <v>65</v>
      </c>
      <c r="O8" s="48" t="s">
        <v>65</v>
      </c>
    </row>
    <row r="9" spans="1:35" x14ac:dyDescent="0.25">
      <c r="A9" s="55" t="s">
        <v>1</v>
      </c>
      <c r="B9" s="50" t="s">
        <v>36</v>
      </c>
      <c r="C9" s="50" t="s">
        <v>37</v>
      </c>
      <c r="D9" s="50" t="s">
        <v>38</v>
      </c>
      <c r="E9" s="49" t="s">
        <v>33</v>
      </c>
      <c r="F9" s="50" t="s">
        <v>36</v>
      </c>
      <c r="G9" s="50" t="s">
        <v>37</v>
      </c>
      <c r="H9" s="50" t="s">
        <v>38</v>
      </c>
      <c r="I9" s="49" t="s">
        <v>33</v>
      </c>
      <c r="J9" s="50" t="s">
        <v>36</v>
      </c>
      <c r="K9" s="50"/>
      <c r="L9" s="50"/>
      <c r="N9" s="49" t="s">
        <v>161</v>
      </c>
      <c r="O9" s="49" t="s">
        <v>161</v>
      </c>
    </row>
    <row r="10" spans="1:35" x14ac:dyDescent="0.25">
      <c r="A10" s="55" t="s">
        <v>1</v>
      </c>
      <c r="B10" s="51" t="s">
        <v>34</v>
      </c>
      <c r="C10" s="51" t="s">
        <v>34</v>
      </c>
      <c r="D10" s="51" t="s">
        <v>34</v>
      </c>
      <c r="E10" s="51" t="s">
        <v>34</v>
      </c>
      <c r="F10" s="51" t="s">
        <v>39</v>
      </c>
      <c r="G10" s="51" t="s">
        <v>39</v>
      </c>
      <c r="H10" s="51" t="s">
        <v>39</v>
      </c>
      <c r="I10" s="51" t="s">
        <v>39</v>
      </c>
      <c r="J10" s="51">
        <v>2017</v>
      </c>
      <c r="K10" s="81"/>
      <c r="L10" s="81"/>
      <c r="N10" s="51" t="s">
        <v>34</v>
      </c>
      <c r="O10" s="51" t="s">
        <v>39</v>
      </c>
    </row>
    <row r="11" spans="1:35" x14ac:dyDescent="0.25">
      <c r="A11" s="55" t="s">
        <v>4</v>
      </c>
      <c r="B11" s="89">
        <v>66829</v>
      </c>
      <c r="C11" s="89">
        <v>75362</v>
      </c>
      <c r="D11" s="89">
        <v>73910</v>
      </c>
      <c r="E11" s="90">
        <f>+N11-B11-C11-D11</f>
        <v>70961</v>
      </c>
      <c r="F11" s="89">
        <v>78054</v>
      </c>
      <c r="G11" s="89">
        <v>87909</v>
      </c>
      <c r="H11" s="89">
        <v>85597</v>
      </c>
      <c r="I11" s="90">
        <f>+O11-F11-G11-H11</f>
        <v>79053</v>
      </c>
      <c r="J11" s="89">
        <v>86904</v>
      </c>
      <c r="K11" s="83"/>
      <c r="L11" s="83"/>
      <c r="M11" s="82"/>
      <c r="N11" s="89">
        <v>287062</v>
      </c>
      <c r="O11" s="89">
        <v>330613</v>
      </c>
      <c r="P11" s="82"/>
      <c r="Q11" s="82"/>
      <c r="T11" s="82"/>
      <c r="U11" s="82"/>
      <c r="V11" s="82"/>
      <c r="W11" s="82"/>
      <c r="X11" s="82"/>
      <c r="Y11" s="82"/>
      <c r="Z11" s="82"/>
      <c r="AA11" s="82"/>
      <c r="AB11" s="82"/>
      <c r="AC11" s="82"/>
      <c r="AD11" s="82"/>
      <c r="AE11" s="53"/>
      <c r="AF11" s="53"/>
      <c r="AG11" s="53"/>
      <c r="AH11" s="53"/>
      <c r="AI11" s="53"/>
    </row>
    <row r="12" spans="1:35" x14ac:dyDescent="0.25">
      <c r="A12" s="55"/>
      <c r="B12" s="82"/>
      <c r="C12" s="82"/>
      <c r="D12" s="82"/>
      <c r="E12" s="82"/>
      <c r="F12" s="82"/>
      <c r="G12" s="82"/>
      <c r="H12" s="82"/>
      <c r="I12" s="82"/>
      <c r="J12" s="82"/>
      <c r="K12" s="82"/>
      <c r="L12" s="82"/>
      <c r="M12" s="82"/>
      <c r="N12" s="82"/>
      <c r="O12" s="82"/>
      <c r="P12" s="82"/>
      <c r="Q12" s="82"/>
      <c r="T12" s="82"/>
      <c r="U12" s="82"/>
      <c r="V12" s="82"/>
      <c r="W12" s="82"/>
      <c r="X12" s="82"/>
      <c r="Y12" s="82"/>
      <c r="Z12" s="82"/>
      <c r="AA12" s="82"/>
      <c r="AB12" s="82"/>
      <c r="AC12" s="82"/>
      <c r="AD12" s="82"/>
      <c r="AE12" s="53"/>
      <c r="AF12" s="53"/>
      <c r="AG12" s="53"/>
      <c r="AH12" s="53"/>
      <c r="AI12" s="53"/>
    </row>
    <row r="13" spans="1:35" x14ac:dyDescent="0.25">
      <c r="A13" s="55" t="s">
        <v>6</v>
      </c>
      <c r="B13" s="83">
        <v>17544</v>
      </c>
      <c r="C13" s="83">
        <v>19802</v>
      </c>
      <c r="D13" s="83">
        <v>19674</v>
      </c>
      <c r="E13" s="82">
        <f t="shared" ref="E13:E27" si="0">+N13-B13-C13-D13</f>
        <v>18666</v>
      </c>
      <c r="F13" s="83">
        <v>19998</v>
      </c>
      <c r="G13" s="83">
        <v>22397</v>
      </c>
      <c r="H13" s="83">
        <v>22528</v>
      </c>
      <c r="I13" s="82">
        <f t="shared" ref="I13:I27" si="1">+O13-F13-G13-H13</f>
        <v>20619</v>
      </c>
      <c r="J13" s="83">
        <v>21825</v>
      </c>
      <c r="K13" s="83"/>
      <c r="L13" s="83"/>
      <c r="M13" s="82"/>
      <c r="N13" s="83">
        <v>75686</v>
      </c>
      <c r="O13" s="83">
        <v>85542</v>
      </c>
      <c r="P13" s="82"/>
      <c r="Q13" s="82"/>
      <c r="T13" s="82"/>
      <c r="U13" s="82"/>
      <c r="V13" s="82"/>
      <c r="W13" s="82"/>
      <c r="X13" s="82"/>
      <c r="Y13" s="82"/>
      <c r="Z13" s="82"/>
      <c r="AA13" s="82"/>
      <c r="AB13" s="82"/>
      <c r="AC13" s="82"/>
      <c r="AD13" s="82"/>
      <c r="AE13" s="53"/>
      <c r="AF13" s="53"/>
      <c r="AG13" s="53"/>
      <c r="AH13" s="53"/>
      <c r="AI13" s="53"/>
    </row>
    <row r="14" spans="1:35" x14ac:dyDescent="0.25">
      <c r="A14" s="55" t="s">
        <v>7</v>
      </c>
      <c r="B14" s="83">
        <v>22146</v>
      </c>
      <c r="C14" s="83">
        <v>24127</v>
      </c>
      <c r="D14" s="83">
        <v>23641</v>
      </c>
      <c r="E14" s="82">
        <f t="shared" si="0"/>
        <v>23711</v>
      </c>
      <c r="F14" s="83">
        <v>25680</v>
      </c>
      <c r="G14" s="83">
        <v>28708</v>
      </c>
      <c r="H14" s="83">
        <v>28469</v>
      </c>
      <c r="I14" s="82">
        <f t="shared" si="1"/>
        <v>27873</v>
      </c>
      <c r="J14" s="83">
        <v>29699</v>
      </c>
      <c r="K14" s="83"/>
      <c r="L14" s="83"/>
      <c r="M14" s="82"/>
      <c r="N14" s="83">
        <v>93625</v>
      </c>
      <c r="O14" s="83">
        <v>110730</v>
      </c>
      <c r="P14" s="82"/>
      <c r="Q14" s="82"/>
      <c r="T14" s="82"/>
      <c r="U14" s="82"/>
      <c r="V14" s="82"/>
      <c r="W14" s="82"/>
      <c r="X14" s="82"/>
      <c r="Y14" s="82"/>
      <c r="Z14" s="82"/>
      <c r="AA14" s="82"/>
      <c r="AB14" s="82"/>
      <c r="AC14" s="82"/>
      <c r="AD14" s="82"/>
      <c r="AE14" s="53"/>
      <c r="AF14" s="53"/>
      <c r="AG14" s="53"/>
      <c r="AH14" s="53"/>
      <c r="AI14" s="53"/>
    </row>
    <row r="15" spans="1:35" x14ac:dyDescent="0.25">
      <c r="A15" s="55" t="s">
        <v>8</v>
      </c>
      <c r="B15" s="83">
        <v>9331</v>
      </c>
      <c r="C15" s="83">
        <v>10168</v>
      </c>
      <c r="D15" s="83">
        <v>10235</v>
      </c>
      <c r="E15" s="82">
        <f t="shared" si="0"/>
        <v>10220</v>
      </c>
      <c r="F15" s="83">
        <v>10556</v>
      </c>
      <c r="G15" s="83">
        <v>12034</v>
      </c>
      <c r="H15" s="83">
        <v>12003</v>
      </c>
      <c r="I15" s="82">
        <f t="shared" si="1"/>
        <v>11307</v>
      </c>
      <c r="J15" s="83">
        <v>12032</v>
      </c>
      <c r="K15" s="83"/>
      <c r="L15" s="83"/>
      <c r="M15" s="82"/>
      <c r="N15" s="83">
        <v>39954</v>
      </c>
      <c r="O15" s="83">
        <v>45900</v>
      </c>
      <c r="P15" s="82"/>
      <c r="Q15" s="82"/>
      <c r="T15" s="82"/>
      <c r="U15" s="82"/>
      <c r="V15" s="82"/>
      <c r="W15" s="82"/>
      <c r="X15" s="82"/>
      <c r="Y15" s="82"/>
      <c r="Z15" s="82"/>
      <c r="AA15" s="82"/>
      <c r="AB15" s="82"/>
      <c r="AC15" s="82"/>
      <c r="AD15" s="82"/>
      <c r="AE15" s="53"/>
      <c r="AF15" s="53"/>
      <c r="AG15" s="53"/>
      <c r="AH15" s="53"/>
      <c r="AI15" s="53"/>
    </row>
    <row r="16" spans="1:35" x14ac:dyDescent="0.25">
      <c r="A16" s="55" t="s">
        <v>9</v>
      </c>
      <c r="B16" s="83">
        <v>4480</v>
      </c>
      <c r="C16" s="83">
        <v>4867</v>
      </c>
      <c r="D16" s="83">
        <v>4802</v>
      </c>
      <c r="E16" s="82">
        <f t="shared" si="0"/>
        <v>4870</v>
      </c>
      <c r="F16" s="83">
        <v>5305</v>
      </c>
      <c r="G16" s="83">
        <v>5637</v>
      </c>
      <c r="H16" s="83">
        <v>5695</v>
      </c>
      <c r="I16" s="82">
        <f t="shared" si="1"/>
        <v>5567</v>
      </c>
      <c r="J16" s="83">
        <v>6121</v>
      </c>
      <c r="K16" s="83"/>
      <c r="L16" s="83"/>
      <c r="M16" s="82"/>
      <c r="N16" s="83">
        <v>19019</v>
      </c>
      <c r="O16" s="83">
        <v>22204</v>
      </c>
      <c r="P16" s="82"/>
      <c r="Q16" s="82"/>
      <c r="T16" s="82"/>
      <c r="U16" s="82"/>
      <c r="V16" s="82"/>
      <c r="W16" s="82"/>
      <c r="X16" s="82"/>
      <c r="Y16" s="82"/>
      <c r="Z16" s="82"/>
      <c r="AA16" s="82"/>
      <c r="AB16" s="82"/>
      <c r="AC16" s="82"/>
      <c r="AD16" s="82"/>
      <c r="AE16" s="53"/>
      <c r="AF16" s="53"/>
      <c r="AG16" s="53"/>
      <c r="AH16" s="53"/>
      <c r="AI16" s="53"/>
    </row>
    <row r="17" spans="1:35" x14ac:dyDescent="0.25">
      <c r="A17" s="55" t="s">
        <v>10</v>
      </c>
      <c r="B17" s="83">
        <v>4084</v>
      </c>
      <c r="C17" s="83">
        <v>4299</v>
      </c>
      <c r="D17" s="83">
        <v>4073</v>
      </c>
      <c r="E17" s="82">
        <f t="shared" si="0"/>
        <v>3720</v>
      </c>
      <c r="F17" s="83">
        <v>4533</v>
      </c>
      <c r="G17" s="83">
        <v>4870</v>
      </c>
      <c r="H17" s="83">
        <v>4132</v>
      </c>
      <c r="I17" s="82">
        <f t="shared" si="1"/>
        <v>4025</v>
      </c>
      <c r="J17" s="83">
        <v>4872</v>
      </c>
      <c r="K17" s="83"/>
      <c r="L17" s="83"/>
      <c r="M17" s="82"/>
      <c r="N17" s="83">
        <v>16176</v>
      </c>
      <c r="O17" s="83">
        <v>17560</v>
      </c>
      <c r="P17" s="82"/>
      <c r="Q17" s="82"/>
      <c r="T17" s="82"/>
      <c r="U17" s="82"/>
      <c r="V17" s="82"/>
      <c r="W17" s="82"/>
      <c r="X17" s="82"/>
      <c r="Y17" s="82"/>
      <c r="Z17" s="82"/>
      <c r="AA17" s="82"/>
      <c r="AB17" s="82"/>
      <c r="AC17" s="82"/>
      <c r="AD17" s="82"/>
      <c r="AE17" s="53"/>
      <c r="AF17" s="53"/>
      <c r="AG17" s="53"/>
      <c r="AH17" s="53"/>
      <c r="AI17" s="53"/>
    </row>
    <row r="18" spans="1:35" x14ac:dyDescent="0.25">
      <c r="A18" s="55" t="s">
        <v>11</v>
      </c>
      <c r="B18" s="83">
        <v>535</v>
      </c>
      <c r="C18" s="83">
        <v>609</v>
      </c>
      <c r="D18" s="83">
        <v>576</v>
      </c>
      <c r="E18" s="82">
        <f t="shared" si="0"/>
        <v>529</v>
      </c>
      <c r="F18" s="83">
        <v>583</v>
      </c>
      <c r="G18" s="83">
        <v>692</v>
      </c>
      <c r="H18" s="83">
        <v>641</v>
      </c>
      <c r="I18" s="82">
        <f t="shared" si="1"/>
        <v>474</v>
      </c>
      <c r="J18" s="83">
        <v>631</v>
      </c>
      <c r="K18" s="83"/>
      <c r="L18" s="83"/>
      <c r="M18" s="82"/>
      <c r="N18" s="83">
        <v>2249</v>
      </c>
      <c r="O18" s="83">
        <v>2390</v>
      </c>
      <c r="P18" s="82"/>
      <c r="Q18" s="82"/>
      <c r="T18" s="82"/>
      <c r="U18" s="82"/>
      <c r="V18" s="82"/>
      <c r="W18" s="82"/>
      <c r="X18" s="82"/>
      <c r="Y18" s="82"/>
      <c r="Z18" s="82"/>
      <c r="AA18" s="82"/>
      <c r="AB18" s="82"/>
      <c r="AC18" s="82"/>
      <c r="AD18" s="82"/>
      <c r="AE18" s="53"/>
      <c r="AF18" s="53"/>
      <c r="AG18" s="53"/>
      <c r="AH18" s="53"/>
      <c r="AI18" s="53"/>
    </row>
    <row r="19" spans="1:35" x14ac:dyDescent="0.25">
      <c r="A19" s="55" t="s">
        <v>12</v>
      </c>
      <c r="B19" s="83">
        <v>1108</v>
      </c>
      <c r="C19" s="83">
        <v>699</v>
      </c>
      <c r="D19" s="83">
        <v>1067</v>
      </c>
      <c r="E19" s="82">
        <f t="shared" si="0"/>
        <v>1543</v>
      </c>
      <c r="F19" s="83">
        <v>1433</v>
      </c>
      <c r="G19" s="83">
        <v>1534</v>
      </c>
      <c r="H19" s="83">
        <v>1178</v>
      </c>
      <c r="I19" s="82">
        <f t="shared" si="1"/>
        <v>1203</v>
      </c>
      <c r="J19" s="83">
        <v>1102</v>
      </c>
      <c r="K19" s="83"/>
      <c r="L19" s="83"/>
      <c r="M19" s="82"/>
      <c r="N19" s="83">
        <v>4417</v>
      </c>
      <c r="O19" s="83">
        <v>5348</v>
      </c>
      <c r="P19" s="82"/>
      <c r="Q19" s="82"/>
      <c r="T19" s="82"/>
      <c r="U19" s="82"/>
      <c r="V19" s="82"/>
      <c r="W19" s="82"/>
      <c r="X19" s="82"/>
      <c r="Y19" s="82"/>
      <c r="Z19" s="82"/>
      <c r="AA19" s="82"/>
      <c r="AB19" s="82"/>
      <c r="AC19" s="82"/>
      <c r="AD19" s="82"/>
      <c r="AE19" s="53"/>
      <c r="AF19" s="53"/>
      <c r="AG19" s="53"/>
      <c r="AH19" s="53"/>
      <c r="AI19" s="53"/>
    </row>
    <row r="20" spans="1:35" x14ac:dyDescent="0.25">
      <c r="A20" s="55" t="s">
        <v>164</v>
      </c>
      <c r="B20" s="83">
        <v>0</v>
      </c>
      <c r="C20" s="83">
        <v>0</v>
      </c>
      <c r="D20" s="83">
        <v>0</v>
      </c>
      <c r="E20" s="82">
        <f t="shared" si="0"/>
        <v>4360</v>
      </c>
      <c r="F20" s="83">
        <v>0</v>
      </c>
      <c r="G20" s="82">
        <v>0</v>
      </c>
      <c r="H20" s="83">
        <v>390</v>
      </c>
      <c r="I20" s="82">
        <f t="shared" si="1"/>
        <v>1127</v>
      </c>
      <c r="J20" s="83">
        <v>0</v>
      </c>
      <c r="K20" s="83"/>
      <c r="L20" s="83"/>
      <c r="M20" s="82"/>
      <c r="N20" s="83">
        <v>4360</v>
      </c>
      <c r="O20" s="83">
        <v>1517</v>
      </c>
      <c r="P20" s="82"/>
      <c r="Q20" s="82"/>
      <c r="T20" s="82"/>
      <c r="U20" s="82"/>
      <c r="V20" s="82"/>
      <c r="W20" s="82"/>
      <c r="X20" s="82"/>
      <c r="Y20" s="82"/>
      <c r="Z20" s="82"/>
      <c r="AA20" s="82"/>
      <c r="AB20" s="82"/>
      <c r="AC20" s="82"/>
      <c r="AD20" s="82"/>
      <c r="AE20" s="53"/>
      <c r="AF20" s="53"/>
      <c r="AG20" s="53"/>
      <c r="AH20" s="53"/>
      <c r="AI20" s="53"/>
    </row>
    <row r="21" spans="1:35" x14ac:dyDescent="0.25">
      <c r="A21" s="55" t="s">
        <v>13</v>
      </c>
      <c r="B21" s="85">
        <v>2998</v>
      </c>
      <c r="C21" s="85">
        <v>3194</v>
      </c>
      <c r="D21" s="85">
        <v>3230</v>
      </c>
      <c r="E21" s="86">
        <f t="shared" si="0"/>
        <v>3405</v>
      </c>
      <c r="F21" s="85">
        <v>3477</v>
      </c>
      <c r="G21" s="85">
        <v>3707</v>
      </c>
      <c r="H21" s="85">
        <v>3821</v>
      </c>
      <c r="I21" s="86">
        <f t="shared" si="1"/>
        <v>4076</v>
      </c>
      <c r="J21" s="85">
        <v>4161</v>
      </c>
      <c r="K21" s="83"/>
      <c r="L21" s="83"/>
      <c r="M21" s="82"/>
      <c r="N21" s="85">
        <v>12827</v>
      </c>
      <c r="O21" s="85">
        <v>15081</v>
      </c>
      <c r="P21" s="82"/>
      <c r="Q21" s="82"/>
      <c r="T21" s="82"/>
      <c r="U21" s="82"/>
      <c r="V21" s="82"/>
      <c r="W21" s="82"/>
      <c r="X21" s="82"/>
      <c r="Y21" s="82"/>
      <c r="Z21" s="82"/>
      <c r="AA21" s="82"/>
      <c r="AB21" s="82"/>
      <c r="AC21" s="82"/>
      <c r="AD21" s="82"/>
      <c r="AE21" s="53"/>
      <c r="AF21" s="53"/>
      <c r="AG21" s="53"/>
      <c r="AH21" s="53"/>
      <c r="AI21" s="53"/>
    </row>
    <row r="22" spans="1:35" x14ac:dyDescent="0.25">
      <c r="A22" s="55" t="s">
        <v>14</v>
      </c>
      <c r="B22" s="91">
        <v>62226</v>
      </c>
      <c r="C22" s="91">
        <v>67765</v>
      </c>
      <c r="D22" s="91">
        <v>67298</v>
      </c>
      <c r="E22" s="92">
        <f t="shared" si="0"/>
        <v>71024</v>
      </c>
      <c r="F22" s="91">
        <v>71565</v>
      </c>
      <c r="G22" s="91">
        <v>79579</v>
      </c>
      <c r="H22" s="91">
        <v>78857</v>
      </c>
      <c r="I22" s="92">
        <f t="shared" si="1"/>
        <v>76271</v>
      </c>
      <c r="J22" s="91">
        <f>SUM(J13:J21)</f>
        <v>80443</v>
      </c>
      <c r="K22" s="83"/>
      <c r="L22" s="83"/>
      <c r="M22" s="82"/>
      <c r="N22" s="91">
        <v>268313</v>
      </c>
      <c r="O22" s="91">
        <v>306272</v>
      </c>
      <c r="P22" s="82"/>
      <c r="Q22" s="82"/>
      <c r="T22" s="82"/>
      <c r="U22" s="82"/>
      <c r="V22" s="82"/>
      <c r="W22" s="82"/>
      <c r="X22" s="82"/>
      <c r="Y22" s="82"/>
      <c r="Z22" s="82"/>
      <c r="AA22" s="82"/>
      <c r="AB22" s="82"/>
      <c r="AC22" s="82"/>
      <c r="AD22" s="82"/>
      <c r="AE22" s="53"/>
      <c r="AF22" s="53"/>
      <c r="AG22" s="53"/>
      <c r="AH22" s="53"/>
      <c r="AI22" s="53"/>
    </row>
    <row r="23" spans="1:35" x14ac:dyDescent="0.25">
      <c r="A23" s="55" t="s">
        <v>15</v>
      </c>
      <c r="B23" s="83">
        <v>4603</v>
      </c>
      <c r="C23" s="83">
        <v>7597</v>
      </c>
      <c r="D23" s="83">
        <v>6612</v>
      </c>
      <c r="E23" s="82">
        <f t="shared" si="0"/>
        <v>-63</v>
      </c>
      <c r="F23" s="83">
        <v>6489</v>
      </c>
      <c r="G23" s="83">
        <v>8330</v>
      </c>
      <c r="H23" s="83">
        <v>6740</v>
      </c>
      <c r="I23" s="82">
        <f t="shared" si="1"/>
        <v>2782</v>
      </c>
      <c r="J23" s="83">
        <f>+J11-J22</f>
        <v>6461</v>
      </c>
      <c r="K23" s="83"/>
      <c r="L23" s="83"/>
      <c r="M23" s="82"/>
      <c r="N23" s="83">
        <v>18749</v>
      </c>
      <c r="O23" s="83">
        <v>24341</v>
      </c>
      <c r="P23" s="82"/>
      <c r="Q23" s="82"/>
      <c r="T23" s="82"/>
      <c r="U23" s="82"/>
      <c r="V23" s="82"/>
      <c r="W23" s="82"/>
      <c r="X23" s="82"/>
      <c r="Y23" s="82"/>
      <c r="Z23" s="82"/>
      <c r="AA23" s="82"/>
      <c r="AB23" s="82"/>
      <c r="AC23" s="82"/>
      <c r="AD23" s="82"/>
      <c r="AE23" s="53"/>
      <c r="AF23" s="53"/>
      <c r="AG23" s="53"/>
      <c r="AH23" s="53"/>
      <c r="AI23" s="53"/>
    </row>
    <row r="24" spans="1:35" x14ac:dyDescent="0.25">
      <c r="A24" s="55"/>
      <c r="B24" s="83"/>
      <c r="C24" s="83"/>
      <c r="D24" s="83"/>
      <c r="E24" s="82"/>
      <c r="F24" s="83"/>
      <c r="G24" s="83"/>
      <c r="H24" s="83"/>
      <c r="I24" s="82"/>
      <c r="J24" s="83"/>
      <c r="K24" s="83"/>
      <c r="L24" s="83"/>
      <c r="M24" s="82"/>
      <c r="N24" s="83"/>
      <c r="O24" s="83"/>
      <c r="P24" s="82"/>
      <c r="Q24" s="82"/>
      <c r="T24" s="82"/>
      <c r="U24" s="82"/>
      <c r="V24" s="82"/>
      <c r="W24" s="82"/>
      <c r="X24" s="82"/>
      <c r="Y24" s="82"/>
      <c r="Z24" s="82"/>
      <c r="AA24" s="82"/>
      <c r="AB24" s="82"/>
      <c r="AC24" s="82"/>
      <c r="AD24" s="82"/>
      <c r="AE24" s="53"/>
      <c r="AF24" s="53"/>
      <c r="AG24" s="53"/>
      <c r="AH24" s="53"/>
      <c r="AI24" s="53"/>
    </row>
    <row r="25" spans="1:35" x14ac:dyDescent="0.25">
      <c r="A25" s="55" t="s">
        <v>16</v>
      </c>
      <c r="B25" s="85">
        <v>47</v>
      </c>
      <c r="C25" s="85">
        <v>30</v>
      </c>
      <c r="D25" s="85">
        <v>16</v>
      </c>
      <c r="E25" s="86">
        <f t="shared" si="0"/>
        <v>17</v>
      </c>
      <c r="F25" s="85">
        <v>15</v>
      </c>
      <c r="G25" s="85">
        <v>16</v>
      </c>
      <c r="H25" s="85">
        <v>16</v>
      </c>
      <c r="I25" s="86">
        <f t="shared" si="1"/>
        <v>16</v>
      </c>
      <c r="J25" s="85">
        <v>16</v>
      </c>
      <c r="K25" s="83"/>
      <c r="L25" s="83"/>
      <c r="M25" s="82"/>
      <c r="N25" s="85">
        <v>110</v>
      </c>
      <c r="O25" s="85">
        <v>63</v>
      </c>
      <c r="P25" s="82"/>
      <c r="Q25" s="82"/>
      <c r="T25" s="82"/>
      <c r="U25" s="82"/>
      <c r="V25" s="82"/>
      <c r="W25" s="82"/>
      <c r="X25" s="82"/>
      <c r="Y25" s="82"/>
      <c r="Z25" s="82"/>
      <c r="AA25" s="82"/>
      <c r="AB25" s="82"/>
      <c r="AC25" s="82"/>
      <c r="AD25" s="82"/>
      <c r="AE25" s="53"/>
      <c r="AF25" s="53"/>
      <c r="AG25" s="53"/>
      <c r="AH25" s="53"/>
      <c r="AI25" s="53"/>
    </row>
    <row r="26" spans="1:35" x14ac:dyDescent="0.25">
      <c r="A26" s="55" t="s">
        <v>17</v>
      </c>
      <c r="B26" s="83">
        <v>4556</v>
      </c>
      <c r="C26" s="83">
        <v>7567</v>
      </c>
      <c r="D26" s="83">
        <v>6596</v>
      </c>
      <c r="E26" s="82">
        <f t="shared" si="0"/>
        <v>-80</v>
      </c>
      <c r="F26" s="83">
        <v>6474</v>
      </c>
      <c r="G26" s="83">
        <v>8314</v>
      </c>
      <c r="H26" s="83">
        <v>6724</v>
      </c>
      <c r="I26" s="82">
        <f t="shared" si="1"/>
        <v>2766</v>
      </c>
      <c r="J26" s="83">
        <f>+J23-J25</f>
        <v>6445</v>
      </c>
      <c r="K26" s="83"/>
      <c r="L26" s="83"/>
      <c r="M26" s="82"/>
      <c r="N26" s="83">
        <v>18639</v>
      </c>
      <c r="O26" s="83">
        <v>24278</v>
      </c>
      <c r="P26" s="82"/>
      <c r="Q26" s="82"/>
      <c r="T26" s="82"/>
      <c r="U26" s="82"/>
      <c r="V26" s="82"/>
      <c r="W26" s="82"/>
      <c r="X26" s="82"/>
      <c r="Y26" s="82"/>
      <c r="Z26" s="82"/>
      <c r="AA26" s="82"/>
      <c r="AB26" s="82"/>
      <c r="AC26" s="82"/>
      <c r="AD26" s="82"/>
      <c r="AE26" s="53"/>
      <c r="AF26" s="53"/>
      <c r="AG26" s="53"/>
      <c r="AH26" s="53"/>
      <c r="AI26" s="53"/>
    </row>
    <row r="27" spans="1:35" x14ac:dyDescent="0.25">
      <c r="A27" s="55" t="s">
        <v>18</v>
      </c>
      <c r="B27" s="85">
        <v>1321</v>
      </c>
      <c r="C27" s="85">
        <v>2194</v>
      </c>
      <c r="D27" s="85">
        <v>2527</v>
      </c>
      <c r="E27" s="86">
        <f t="shared" si="0"/>
        <v>-299</v>
      </c>
      <c r="F27" s="85">
        <v>1942</v>
      </c>
      <c r="G27" s="85">
        <v>2534</v>
      </c>
      <c r="H27" s="85">
        <v>2125</v>
      </c>
      <c r="I27" s="86">
        <f t="shared" si="1"/>
        <v>433</v>
      </c>
      <c r="J27" s="85">
        <v>1895</v>
      </c>
      <c r="K27" s="83"/>
      <c r="L27" s="83"/>
      <c r="M27" s="82"/>
      <c r="N27" s="85">
        <v>5743</v>
      </c>
      <c r="O27" s="85">
        <v>7034</v>
      </c>
      <c r="P27" s="82"/>
      <c r="Q27" s="82"/>
      <c r="T27" s="82"/>
      <c r="U27" s="82"/>
      <c r="V27" s="82"/>
      <c r="W27" s="82"/>
      <c r="X27" s="82"/>
      <c r="Y27" s="82"/>
      <c r="Z27" s="82"/>
      <c r="AA27" s="82"/>
      <c r="AB27" s="82"/>
      <c r="AC27" s="82"/>
      <c r="AD27" s="82"/>
      <c r="AE27" s="53"/>
      <c r="AF27" s="53"/>
      <c r="AG27" s="53"/>
      <c r="AH27" s="53"/>
      <c r="AI27" s="53"/>
    </row>
    <row r="28" spans="1:35" x14ac:dyDescent="0.25">
      <c r="A28" s="55"/>
      <c r="B28" s="83"/>
      <c r="C28" s="83"/>
      <c r="D28" s="83"/>
      <c r="E28" s="82"/>
      <c r="F28" s="83"/>
      <c r="G28" s="83"/>
      <c r="H28" s="83"/>
      <c r="I28" s="82"/>
      <c r="J28" s="83"/>
      <c r="K28" s="83"/>
      <c r="L28" s="83"/>
      <c r="M28" s="82"/>
      <c r="N28" s="83"/>
      <c r="O28" s="83"/>
      <c r="P28" s="82"/>
      <c r="Q28" s="82"/>
      <c r="T28" s="82"/>
      <c r="U28" s="82"/>
      <c r="V28" s="82"/>
      <c r="W28" s="82"/>
      <c r="X28" s="82"/>
      <c r="Y28" s="82"/>
      <c r="Z28" s="82"/>
      <c r="AA28" s="82"/>
      <c r="AB28" s="82"/>
      <c r="AC28" s="82"/>
      <c r="AD28" s="82"/>
      <c r="AE28" s="53"/>
      <c r="AF28" s="53"/>
      <c r="AG28" s="53"/>
      <c r="AH28" s="53"/>
      <c r="AI28" s="53"/>
    </row>
    <row r="29" spans="1:35" ht="15.75" thickBot="1" x14ac:dyDescent="0.3">
      <c r="A29" s="55" t="s">
        <v>19</v>
      </c>
      <c r="B29" s="87">
        <v>3235</v>
      </c>
      <c r="C29" s="87">
        <v>5373</v>
      </c>
      <c r="D29" s="87">
        <v>4069</v>
      </c>
      <c r="E29" s="88">
        <f>+E26-E27</f>
        <v>219</v>
      </c>
      <c r="F29" s="87">
        <v>4532</v>
      </c>
      <c r="G29" s="87">
        <v>5780</v>
      </c>
      <c r="H29" s="87">
        <v>4599</v>
      </c>
      <c r="I29" s="88">
        <f>+I26-I27</f>
        <v>2333</v>
      </c>
      <c r="J29" s="87">
        <f>+J26-J27</f>
        <v>4550</v>
      </c>
      <c r="K29" s="83"/>
      <c r="L29" s="83"/>
      <c r="M29" s="82"/>
      <c r="N29" s="87">
        <v>12896</v>
      </c>
      <c r="O29" s="87">
        <v>17244</v>
      </c>
      <c r="P29" s="82"/>
      <c r="Q29" s="82"/>
      <c r="T29" s="82"/>
      <c r="U29" s="82"/>
      <c r="V29" s="82"/>
      <c r="W29" s="82"/>
      <c r="X29" s="82"/>
      <c r="Y29" s="82"/>
      <c r="Z29" s="82"/>
      <c r="AA29" s="82"/>
      <c r="AB29" s="82"/>
      <c r="AC29" s="82"/>
      <c r="AD29" s="82"/>
      <c r="AE29" s="53"/>
      <c r="AF29" s="53"/>
      <c r="AG29" s="53"/>
      <c r="AH29" s="53"/>
      <c r="AI29" s="53"/>
    </row>
    <row r="30" spans="1:35" ht="15.75" thickTop="1" x14ac:dyDescent="0.25">
      <c r="A30" s="55" t="s">
        <v>20</v>
      </c>
      <c r="B30" s="47"/>
      <c r="C30" s="47"/>
      <c r="D30" s="47"/>
      <c r="F30" s="47"/>
      <c r="G30" s="47"/>
      <c r="H30" s="47"/>
      <c r="J30" s="47"/>
      <c r="K30" s="47"/>
      <c r="L30" s="47"/>
      <c r="N30" s="47"/>
      <c r="O30" s="47"/>
    </row>
    <row r="31" spans="1:35" x14ac:dyDescent="0.25">
      <c r="A31" s="55"/>
      <c r="B31" s="47"/>
      <c r="C31" s="47"/>
      <c r="D31" s="47"/>
      <c r="F31" s="47"/>
      <c r="G31" s="47"/>
      <c r="H31" s="47"/>
      <c r="J31" s="47"/>
      <c r="K31" s="47"/>
      <c r="L31" s="47"/>
      <c r="N31" s="47"/>
      <c r="O31" s="47"/>
      <c r="R31" s="116"/>
      <c r="S31" s="118"/>
    </row>
    <row r="32" spans="1:35" x14ac:dyDescent="0.25">
      <c r="A32" s="55"/>
      <c r="B32" s="47"/>
      <c r="C32" s="47"/>
      <c r="D32" s="47"/>
      <c r="F32" s="47"/>
      <c r="G32" s="47"/>
      <c r="H32" s="47"/>
      <c r="J32" s="47"/>
      <c r="K32" s="47"/>
      <c r="L32" s="47"/>
      <c r="N32" s="47"/>
      <c r="O32" s="47"/>
      <c r="R32" s="116"/>
      <c r="S32" s="1"/>
    </row>
    <row r="33" spans="1:19" x14ac:dyDescent="0.25">
      <c r="A33" s="55"/>
      <c r="B33" s="47"/>
      <c r="C33" s="47"/>
      <c r="D33" s="47"/>
      <c r="F33" s="47"/>
      <c r="G33" s="47"/>
      <c r="H33" s="47"/>
      <c r="J33" s="47"/>
      <c r="K33" s="47"/>
      <c r="L33" s="47"/>
      <c r="N33" s="47"/>
      <c r="O33" s="47"/>
      <c r="R33" s="116"/>
      <c r="S33" s="117"/>
    </row>
    <row r="34" spans="1:19" x14ac:dyDescent="0.25">
      <c r="A34" s="55"/>
      <c r="B34" s="47"/>
      <c r="C34" s="47"/>
      <c r="D34" s="47"/>
      <c r="F34" s="47"/>
      <c r="G34" s="47"/>
      <c r="H34" s="47"/>
      <c r="J34" s="47"/>
      <c r="K34" s="47"/>
      <c r="L34" s="47"/>
      <c r="N34" s="47"/>
      <c r="O34" s="47"/>
    </row>
    <row r="35" spans="1:19" x14ac:dyDescent="0.25">
      <c r="A35" s="55"/>
      <c r="B35" s="47"/>
      <c r="C35" s="47"/>
      <c r="D35" s="47"/>
      <c r="F35" s="47"/>
      <c r="G35" s="47"/>
      <c r="H35" s="47"/>
      <c r="J35" s="47"/>
      <c r="K35" s="47"/>
      <c r="L35" s="47"/>
      <c r="N35" s="47"/>
      <c r="O35" s="47"/>
    </row>
    <row r="36" spans="1:19" x14ac:dyDescent="0.25">
      <c r="A36" s="55"/>
      <c r="B36" s="47"/>
      <c r="C36" s="47"/>
      <c r="D36" s="47"/>
      <c r="F36" s="47"/>
      <c r="G36" s="47"/>
      <c r="H36" s="47"/>
      <c r="J36" s="47"/>
      <c r="K36" s="47"/>
      <c r="L36" s="47"/>
      <c r="N36" s="47"/>
      <c r="O36" s="47"/>
    </row>
    <row r="37" spans="1:19" x14ac:dyDescent="0.25">
      <c r="A37" s="55"/>
      <c r="B37" s="47"/>
      <c r="C37" s="47"/>
      <c r="D37" s="47"/>
      <c r="F37" s="47"/>
      <c r="G37" s="47"/>
      <c r="H37" s="47"/>
      <c r="J37" s="47"/>
      <c r="K37" s="47"/>
      <c r="L37" s="47"/>
      <c r="N37" s="47"/>
      <c r="O37" s="47"/>
    </row>
    <row r="38" spans="1:19" x14ac:dyDescent="0.25">
      <c r="A38" s="55"/>
      <c r="B38" s="47"/>
      <c r="C38" s="47"/>
      <c r="D38" s="47"/>
      <c r="F38" s="47"/>
      <c r="G38" s="47"/>
      <c r="H38" s="47"/>
      <c r="J38" s="47"/>
      <c r="K38" s="47"/>
      <c r="L38" s="47"/>
      <c r="N38" s="47"/>
      <c r="O38" s="47"/>
    </row>
    <row r="39" spans="1:19" x14ac:dyDescent="0.25">
      <c r="A39" s="55"/>
      <c r="B39" s="47"/>
      <c r="C39" s="47"/>
      <c r="D39" s="47"/>
      <c r="F39" s="47"/>
      <c r="G39" s="47"/>
      <c r="H39" s="47"/>
      <c r="J39" s="47"/>
      <c r="K39" s="47"/>
      <c r="L39" s="47"/>
      <c r="N39" s="47"/>
      <c r="O39" s="47"/>
    </row>
    <row r="40" spans="1:19" x14ac:dyDescent="0.25">
      <c r="A40" s="55"/>
      <c r="B40" s="47"/>
      <c r="C40" s="47"/>
      <c r="D40" s="47"/>
      <c r="F40" s="47"/>
      <c r="G40" s="47"/>
      <c r="H40" s="47"/>
      <c r="J40" s="47"/>
      <c r="K40" s="47"/>
      <c r="L40" s="47"/>
      <c r="N40" s="47"/>
      <c r="O40" s="47"/>
    </row>
    <row r="41" spans="1:19" x14ac:dyDescent="0.25">
      <c r="A41" s="55"/>
      <c r="B41" s="47"/>
      <c r="C41" s="47"/>
      <c r="D41" s="47"/>
      <c r="F41" s="47"/>
      <c r="G41" s="47"/>
      <c r="H41" s="47"/>
      <c r="J41" s="47"/>
      <c r="K41" s="47"/>
      <c r="L41" s="47"/>
      <c r="N41" s="47"/>
      <c r="O41" s="47"/>
    </row>
    <row r="42" spans="1:19" x14ac:dyDescent="0.25">
      <c r="A42" s="55"/>
      <c r="B42" s="47"/>
      <c r="C42" s="47"/>
      <c r="D42" s="47"/>
      <c r="F42" s="47"/>
      <c r="G42" s="47"/>
      <c r="H42" s="47"/>
      <c r="J42" s="47"/>
      <c r="K42" s="47"/>
      <c r="L42" s="47"/>
      <c r="N42" s="47"/>
      <c r="O42" s="47"/>
    </row>
    <row r="43" spans="1:19" x14ac:dyDescent="0.25">
      <c r="A43" s="55" t="s">
        <v>21</v>
      </c>
      <c r="B43" s="84">
        <v>0.2</v>
      </c>
      <c r="C43" s="84">
        <v>0.33</v>
      </c>
      <c r="D43" s="84">
        <v>0.25</v>
      </c>
      <c r="F43" s="84">
        <v>0.27</v>
      </c>
      <c r="G43" s="84">
        <v>0.35</v>
      </c>
      <c r="H43" s="84">
        <v>0.27</v>
      </c>
      <c r="J43" s="84">
        <f>+J29/(J46/1000)</f>
        <v>0.26994516553423187</v>
      </c>
      <c r="K43" s="84"/>
      <c r="L43" s="84"/>
      <c r="N43" s="84">
        <v>0.78</v>
      </c>
      <c r="O43" s="84">
        <v>1.03</v>
      </c>
    </row>
    <row r="44" spans="1:19" x14ac:dyDescent="0.25">
      <c r="A44" s="55" t="s">
        <v>22</v>
      </c>
      <c r="B44" s="84">
        <v>0.19</v>
      </c>
      <c r="C44" s="84">
        <v>0.32</v>
      </c>
      <c r="D44" s="84">
        <v>0.24</v>
      </c>
      <c r="F44" s="84">
        <v>0.27</v>
      </c>
      <c r="G44" s="84">
        <v>0.34</v>
      </c>
      <c r="H44" s="84">
        <v>0.27</v>
      </c>
      <c r="J44" s="84">
        <f>+J29/(J47/1000)</f>
        <v>0.26761154519729613</v>
      </c>
      <c r="K44" s="84"/>
      <c r="L44" s="84"/>
      <c r="N44" s="84">
        <v>0.77</v>
      </c>
      <c r="O44" s="84">
        <v>1.02</v>
      </c>
    </row>
    <row r="45" spans="1:19" x14ac:dyDescent="0.25">
      <c r="A45" s="55" t="s">
        <v>23</v>
      </c>
      <c r="B45" s="47"/>
      <c r="C45" s="47"/>
      <c r="D45" s="47"/>
      <c r="F45" s="47"/>
      <c r="G45" s="47"/>
      <c r="H45" s="47"/>
      <c r="J45" s="47"/>
      <c r="K45" s="47"/>
      <c r="L45" s="47"/>
      <c r="N45" s="47"/>
      <c r="O45" s="47"/>
    </row>
    <row r="46" spans="1:19" x14ac:dyDescent="0.25">
      <c r="A46" s="55" t="s">
        <v>21</v>
      </c>
      <c r="B46" s="58">
        <v>16449682</v>
      </c>
      <c r="C46" s="58">
        <v>16470344</v>
      </c>
      <c r="D46" s="58">
        <v>16476472</v>
      </c>
      <c r="F46" s="58">
        <v>16503226</v>
      </c>
      <c r="G46" s="58">
        <v>16578537</v>
      </c>
      <c r="H46" s="58">
        <v>16803188</v>
      </c>
      <c r="J46" s="117">
        <v>16855275</v>
      </c>
      <c r="K46" s="58"/>
      <c r="L46" s="58"/>
      <c r="N46" s="58">
        <v>16470278</v>
      </c>
      <c r="O46" s="58">
        <v>16676073</v>
      </c>
    </row>
    <row r="47" spans="1:19" x14ac:dyDescent="0.25">
      <c r="A47" s="55" t="s">
        <v>22</v>
      </c>
      <c r="B47" s="58">
        <v>16689562</v>
      </c>
      <c r="C47" s="58">
        <v>16730963</v>
      </c>
      <c r="D47" s="58">
        <v>16760695</v>
      </c>
      <c r="F47" s="58">
        <v>16803756</v>
      </c>
      <c r="G47" s="58">
        <v>16840629</v>
      </c>
      <c r="H47" s="58">
        <v>16953093</v>
      </c>
      <c r="J47" s="117">
        <v>17002256</v>
      </c>
      <c r="K47" s="58"/>
      <c r="L47" s="58"/>
      <c r="N47" s="58">
        <v>16739387</v>
      </c>
      <c r="O47" s="58">
        <v>16887882</v>
      </c>
    </row>
    <row r="50" spans="1:12" x14ac:dyDescent="0.25">
      <c r="A50" s="55" t="s">
        <v>61</v>
      </c>
      <c r="B50" s="21">
        <f>+B27/B26</f>
        <v>0.28994732221246705</v>
      </c>
      <c r="C50" s="21">
        <f t="shared" ref="C50:J50" si="2">+C27/C26</f>
        <v>0.28994317430950178</v>
      </c>
      <c r="D50" s="21">
        <f t="shared" si="2"/>
        <v>0.38311097634930263</v>
      </c>
      <c r="E50" s="21">
        <f t="shared" si="2"/>
        <v>3.7374999999999998</v>
      </c>
      <c r="F50" s="21">
        <f t="shared" si="2"/>
        <v>0.29996910719802283</v>
      </c>
      <c r="G50" s="21">
        <f t="shared" si="2"/>
        <v>0.30478710608611981</v>
      </c>
      <c r="H50" s="21">
        <f t="shared" si="2"/>
        <v>0.31603212373587153</v>
      </c>
      <c r="I50" s="21">
        <f t="shared" si="2"/>
        <v>0.15654374548083877</v>
      </c>
      <c r="J50" s="21">
        <f t="shared" si="2"/>
        <v>0.29402637703646239</v>
      </c>
      <c r="K50" s="21"/>
      <c r="L50" s="21"/>
    </row>
    <row r="52" spans="1:12" x14ac:dyDescent="0.25">
      <c r="A52" s="55" t="s">
        <v>32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workbookViewId="0">
      <selection activeCell="P3" sqref="P3"/>
    </sheetView>
  </sheetViews>
  <sheetFormatPr defaultRowHeight="15" x14ac:dyDescent="0.25"/>
  <cols>
    <col min="6" max="6" width="13.28515625" customWidth="1"/>
    <col min="7" max="7" width="13.140625" customWidth="1"/>
    <col min="16" max="16" width="10.28515625" customWidth="1"/>
    <col min="17" max="17" width="13.140625" customWidth="1"/>
    <col min="18" max="18" width="12.7109375" customWidth="1"/>
  </cols>
  <sheetData>
    <row r="1" spans="1:19" x14ac:dyDescent="0.25">
      <c r="A1" s="46" t="s">
        <v>0</v>
      </c>
    </row>
    <row r="2" spans="1:19" x14ac:dyDescent="0.25">
      <c r="A2" t="s">
        <v>241</v>
      </c>
    </row>
    <row r="3" spans="1:19" ht="23.25" x14ac:dyDescent="0.35">
      <c r="A3" s="46" t="s">
        <v>166</v>
      </c>
      <c r="P3" s="134" t="s">
        <v>268</v>
      </c>
    </row>
    <row r="6" spans="1:19" ht="18.75" x14ac:dyDescent="0.3">
      <c r="A6" s="130" t="s">
        <v>4</v>
      </c>
      <c r="E6" s="10" t="s">
        <v>224</v>
      </c>
      <c r="F6" s="10" t="s">
        <v>227</v>
      </c>
      <c r="G6" s="10"/>
      <c r="H6" s="10" t="s">
        <v>229</v>
      </c>
      <c r="L6" s="130" t="s">
        <v>4</v>
      </c>
      <c r="P6" s="10" t="s">
        <v>224</v>
      </c>
      <c r="Q6" s="10" t="s">
        <v>227</v>
      </c>
      <c r="R6" s="10"/>
      <c r="S6" s="10" t="s">
        <v>229</v>
      </c>
    </row>
    <row r="7" spans="1:19" x14ac:dyDescent="0.25">
      <c r="E7" s="10" t="s">
        <v>225</v>
      </c>
      <c r="F7" s="10" t="s">
        <v>4</v>
      </c>
      <c r="G7" s="10"/>
      <c r="H7" s="10" t="s">
        <v>225</v>
      </c>
      <c r="P7" s="10" t="s">
        <v>225</v>
      </c>
      <c r="Q7" s="10" t="s">
        <v>4</v>
      </c>
      <c r="R7" s="10"/>
      <c r="S7" s="10" t="s">
        <v>225</v>
      </c>
    </row>
    <row r="8" spans="1:19" x14ac:dyDescent="0.25">
      <c r="A8" s="73" t="s">
        <v>166</v>
      </c>
      <c r="B8" s="129"/>
      <c r="C8" s="129"/>
      <c r="D8" s="129"/>
      <c r="E8" s="107" t="s">
        <v>226</v>
      </c>
      <c r="F8" s="107" t="s">
        <v>228</v>
      </c>
      <c r="G8" s="107" t="s">
        <v>4</v>
      </c>
      <c r="H8" s="107" t="s">
        <v>230</v>
      </c>
      <c r="L8" s="73" t="s">
        <v>166</v>
      </c>
      <c r="M8" s="129"/>
      <c r="N8" s="129"/>
      <c r="O8" s="129"/>
      <c r="P8" s="107" t="s">
        <v>226</v>
      </c>
      <c r="Q8" s="107" t="s">
        <v>228</v>
      </c>
      <c r="R8" s="107" t="s">
        <v>4</v>
      </c>
      <c r="S8" s="107" t="s">
        <v>230</v>
      </c>
    </row>
    <row r="10" spans="1:19" x14ac:dyDescent="0.25">
      <c r="A10" t="s">
        <v>236</v>
      </c>
      <c r="E10" s="7">
        <f>+'Forecast - Summary Assumptions'!F11</f>
        <v>69</v>
      </c>
      <c r="F10" s="106">
        <f>+'Forecast - Summary Assumptions'!F14</f>
        <v>1028.4202898550725</v>
      </c>
      <c r="G10" s="106">
        <f>+'Forecast - Summary Assumptions'!F17</f>
        <v>70961</v>
      </c>
      <c r="H10" s="21">
        <f>+'Forecast - Summary Assumptions'!F16</f>
        <v>3.2000000000000001E-2</v>
      </c>
      <c r="L10" t="s">
        <v>236</v>
      </c>
      <c r="P10" s="7">
        <f>+E10</f>
        <v>69</v>
      </c>
      <c r="Q10" s="106">
        <f>+F10</f>
        <v>1028.4202898550725</v>
      </c>
      <c r="R10" s="106">
        <f>+G10</f>
        <v>70961</v>
      </c>
      <c r="S10" s="21">
        <f>+H10</f>
        <v>3.2000000000000001E-2</v>
      </c>
    </row>
    <row r="11" spans="1:19" x14ac:dyDescent="0.25">
      <c r="E11" s="7"/>
      <c r="F11" s="106"/>
      <c r="G11" s="106"/>
      <c r="H11" s="21"/>
      <c r="P11" s="7"/>
      <c r="Q11" s="106"/>
      <c r="R11" s="106"/>
      <c r="S11" s="21"/>
    </row>
    <row r="12" spans="1:19" x14ac:dyDescent="0.25">
      <c r="A12" t="s">
        <v>231</v>
      </c>
      <c r="E12" s="7">
        <f>+'Forecast - Summary Assumptions'!G11</f>
        <v>71</v>
      </c>
      <c r="F12" s="106">
        <f>+'Forecast - Summary Assumptions'!G14</f>
        <v>1099.3521126760563</v>
      </c>
      <c r="G12" s="106">
        <f>+'Forecast - Summary Assumptions'!G17</f>
        <v>78054</v>
      </c>
      <c r="H12" s="21">
        <f>+'Forecast - Summary Assumptions'!G16</f>
        <v>3.2000000000000001E-2</v>
      </c>
      <c r="L12" t="s">
        <v>231</v>
      </c>
      <c r="P12" s="7">
        <f>+E12</f>
        <v>71</v>
      </c>
      <c r="Q12" s="106">
        <f>+F12</f>
        <v>1099.3521126760563</v>
      </c>
      <c r="R12" s="106">
        <f>+G12</f>
        <v>78054</v>
      </c>
      <c r="S12" s="21">
        <f>+H12</f>
        <v>3.2000000000000001E-2</v>
      </c>
    </row>
    <row r="13" spans="1:19" x14ac:dyDescent="0.25">
      <c r="E13" s="7"/>
      <c r="F13" s="106"/>
      <c r="G13" s="106"/>
      <c r="H13" s="21"/>
      <c r="P13" s="7"/>
      <c r="Q13" s="106"/>
      <c r="R13" s="106"/>
      <c r="S13" s="21"/>
    </row>
    <row r="14" spans="1:19" x14ac:dyDescent="0.25">
      <c r="A14" t="s">
        <v>235</v>
      </c>
      <c r="E14" s="7">
        <f>+'Forecast - Summary Assumptions'!H11</f>
        <v>75</v>
      </c>
      <c r="F14" s="106">
        <f>+'Forecast - Summary Assumptions'!H14</f>
        <v>1172.1199999999999</v>
      </c>
      <c r="G14" s="106">
        <f>+'Forecast - Summary Assumptions'!H17</f>
        <v>87909</v>
      </c>
      <c r="H14" s="21">
        <f>+'Forecast - Summary Assumptions'!H16</f>
        <v>0.01</v>
      </c>
      <c r="L14" t="s">
        <v>235</v>
      </c>
      <c r="P14" s="7">
        <f>+E14</f>
        <v>75</v>
      </c>
      <c r="Q14" s="106">
        <f>+F14</f>
        <v>1172.1199999999999</v>
      </c>
      <c r="R14" s="106">
        <f>+G14</f>
        <v>87909</v>
      </c>
      <c r="S14" s="21">
        <f>+H14</f>
        <v>0.01</v>
      </c>
    </row>
    <row r="15" spans="1:19" x14ac:dyDescent="0.25">
      <c r="E15" s="7"/>
      <c r="F15" s="106"/>
      <c r="G15" s="106"/>
      <c r="H15" s="21"/>
      <c r="P15" s="7"/>
      <c r="Q15" s="106"/>
      <c r="R15" s="106"/>
      <c r="S15" s="21"/>
    </row>
    <row r="16" spans="1:19" x14ac:dyDescent="0.25">
      <c r="A16" t="s">
        <v>234</v>
      </c>
      <c r="E16" s="7">
        <f>+'Forecast - Summary Assumptions'!I11</f>
        <v>77</v>
      </c>
      <c r="F16" s="106">
        <f>+'Forecast - Summary Assumptions'!I14</f>
        <v>1111.6493506493507</v>
      </c>
      <c r="G16" s="106">
        <f>+'Forecast - Summary Assumptions'!I17</f>
        <v>85597</v>
      </c>
      <c r="H16" s="21">
        <f>+'Forecast - Summary Assumptions'!I16</f>
        <v>3.0000000000000001E-3</v>
      </c>
      <c r="L16" t="s">
        <v>234</v>
      </c>
      <c r="P16" s="7">
        <f>+E16</f>
        <v>77</v>
      </c>
      <c r="Q16" s="106">
        <f>+F16</f>
        <v>1111.6493506493507</v>
      </c>
      <c r="R16" s="106">
        <f>+G16</f>
        <v>85597</v>
      </c>
      <c r="S16" s="21">
        <f>+H16</f>
        <v>3.0000000000000001E-3</v>
      </c>
    </row>
    <row r="17" spans="1:19" x14ac:dyDescent="0.25">
      <c r="E17" s="7"/>
      <c r="F17" s="106"/>
      <c r="G17" s="106"/>
      <c r="H17" s="21"/>
      <c r="P17" s="7"/>
      <c r="Q17" s="106"/>
      <c r="R17" s="106"/>
      <c r="S17" s="21"/>
    </row>
    <row r="18" spans="1:19" x14ac:dyDescent="0.25">
      <c r="A18" t="s">
        <v>233</v>
      </c>
      <c r="E18" s="7">
        <f>+'Forecast - Summary Assumptions'!J11</f>
        <v>80</v>
      </c>
      <c r="F18" s="106">
        <f>+'Forecast - Summary Assumptions'!J14</f>
        <v>988.16250000000002</v>
      </c>
      <c r="G18" s="106">
        <f>+'Forecast - Summary Assumptions'!J17</f>
        <v>79053</v>
      </c>
      <c r="H18" s="21">
        <f>+'Forecast - Summary Assumptions'!J16</f>
        <v>-1.0999999999999999E-2</v>
      </c>
      <c r="L18" t="s">
        <v>233</v>
      </c>
      <c r="P18" s="7">
        <f>+E18</f>
        <v>80</v>
      </c>
      <c r="Q18" s="106">
        <f>+F18</f>
        <v>988.16250000000002</v>
      </c>
      <c r="R18" s="106">
        <f>+G18</f>
        <v>79053</v>
      </c>
      <c r="S18" s="21">
        <f>+H18</f>
        <v>-1.0999999999999999E-2</v>
      </c>
    </row>
    <row r="19" spans="1:19" x14ac:dyDescent="0.25">
      <c r="E19" s="7"/>
      <c r="F19" s="106"/>
      <c r="G19" s="106"/>
      <c r="H19" s="21"/>
      <c r="P19" s="7"/>
      <c r="Q19" s="106"/>
      <c r="R19" s="106"/>
      <c r="S19" s="21"/>
    </row>
    <row r="20" spans="1:19" x14ac:dyDescent="0.25">
      <c r="A20" s="112" t="s">
        <v>232</v>
      </c>
      <c r="B20" s="112"/>
      <c r="C20" s="112"/>
      <c r="E20" s="125"/>
      <c r="F20" s="123"/>
      <c r="G20" s="106"/>
      <c r="H20" s="21"/>
      <c r="L20" s="112" t="s">
        <v>232</v>
      </c>
      <c r="M20" s="112"/>
      <c r="N20" s="112"/>
      <c r="P20" s="7">
        <f>+Assumptions!K10</f>
        <v>82</v>
      </c>
      <c r="Q20" s="106">
        <f>+Assumptions!K16</f>
        <v>1059.8048780487804</v>
      </c>
      <c r="R20" s="106">
        <f>+'Actual - Summary IS by Qtr'!J10</f>
        <v>86904</v>
      </c>
      <c r="S20" s="21">
        <f>+Assumptions!K13</f>
        <v>-7.0000000000000001E-3</v>
      </c>
    </row>
    <row r="21" spans="1:19" x14ac:dyDescent="0.25">
      <c r="E21" s="7"/>
      <c r="F21" s="106"/>
      <c r="G21" s="106"/>
      <c r="H21" s="21"/>
    </row>
    <row r="22" spans="1:19" x14ac:dyDescent="0.25">
      <c r="E22" s="7"/>
      <c r="F22" s="106"/>
      <c r="G22" s="106"/>
      <c r="H22" s="21"/>
    </row>
    <row r="23" spans="1:19" x14ac:dyDescent="0.25">
      <c r="E23" s="7"/>
      <c r="F23" s="106"/>
      <c r="G23" s="106"/>
      <c r="H23" s="21"/>
    </row>
    <row r="24" spans="1:19" ht="18.75" x14ac:dyDescent="0.3">
      <c r="A24" s="130" t="s">
        <v>242</v>
      </c>
      <c r="E24" s="7"/>
      <c r="F24" s="106"/>
      <c r="G24" s="106"/>
      <c r="H24" s="21"/>
      <c r="L24" s="130" t="s">
        <v>242</v>
      </c>
      <c r="P24" s="7"/>
      <c r="Q24" s="106"/>
      <c r="R24" s="106"/>
    </row>
    <row r="25" spans="1:19" x14ac:dyDescent="0.25">
      <c r="F25" s="131" t="s">
        <v>242</v>
      </c>
      <c r="G25" s="131" t="s">
        <v>242</v>
      </c>
      <c r="H25" s="21"/>
      <c r="Q25" s="131" t="s">
        <v>242</v>
      </c>
      <c r="R25" s="131" t="s">
        <v>242</v>
      </c>
    </row>
    <row r="26" spans="1:19" x14ac:dyDescent="0.25">
      <c r="A26" s="73" t="s">
        <v>166</v>
      </c>
      <c r="B26" s="129"/>
      <c r="C26" s="129"/>
      <c r="D26" s="129"/>
      <c r="F26" s="107" t="s">
        <v>228</v>
      </c>
      <c r="G26" s="107" t="s">
        <v>243</v>
      </c>
      <c r="H26" s="21"/>
      <c r="L26" s="73" t="s">
        <v>166</v>
      </c>
      <c r="M26" s="129"/>
      <c r="N26" s="129"/>
      <c r="O26" s="129"/>
      <c r="Q26" s="107" t="s">
        <v>228</v>
      </c>
      <c r="R26" s="107" t="s">
        <v>243</v>
      </c>
    </row>
    <row r="27" spans="1:19" x14ac:dyDescent="0.25">
      <c r="F27" s="7"/>
      <c r="G27" s="106"/>
      <c r="H27" s="21"/>
      <c r="Q27" s="7"/>
      <c r="R27" s="106"/>
    </row>
    <row r="28" spans="1:19" x14ac:dyDescent="0.25">
      <c r="A28" t="s">
        <v>236</v>
      </c>
      <c r="F28" s="106">
        <f>+'Forecast - Summary Assumptions'!F29</f>
        <v>49.594202898550726</v>
      </c>
      <c r="G28" s="106">
        <f>+'Forecast - Summary Assumptions'!F28</f>
        <v>3422</v>
      </c>
      <c r="H28" s="21"/>
      <c r="L28" t="s">
        <v>236</v>
      </c>
      <c r="Q28" s="106">
        <f>+F28</f>
        <v>49.594202898550726</v>
      </c>
      <c r="R28" s="106">
        <f>+G28</f>
        <v>3422</v>
      </c>
    </row>
    <row r="29" spans="1:19" x14ac:dyDescent="0.25">
      <c r="F29" s="7"/>
      <c r="G29" s="106"/>
      <c r="H29" s="21"/>
      <c r="Q29" s="7"/>
      <c r="R29" s="106"/>
    </row>
    <row r="30" spans="1:19" x14ac:dyDescent="0.25">
      <c r="A30" t="s">
        <v>231</v>
      </c>
      <c r="F30" s="106">
        <f>+'Forecast - Summary Assumptions'!G29</f>
        <v>49.183098591549296</v>
      </c>
      <c r="G30" s="106">
        <f>+'Forecast - Summary Assumptions'!G28</f>
        <v>3492</v>
      </c>
      <c r="L30" t="s">
        <v>231</v>
      </c>
      <c r="Q30" s="106">
        <f>+F30</f>
        <v>49.183098591549296</v>
      </c>
      <c r="R30" s="106">
        <f>+G30</f>
        <v>3492</v>
      </c>
    </row>
    <row r="32" spans="1:19" x14ac:dyDescent="0.25">
      <c r="A32" t="s">
        <v>235</v>
      </c>
      <c r="F32" s="106">
        <f>+'Forecast - Summary Assumptions'!H29</f>
        <v>49.64</v>
      </c>
      <c r="G32" s="106">
        <f>+'Forecast - Summary Assumptions'!H28</f>
        <v>3723</v>
      </c>
      <c r="L32" t="s">
        <v>235</v>
      </c>
      <c r="Q32" s="106">
        <f>+F32</f>
        <v>49.64</v>
      </c>
      <c r="R32" s="106">
        <f>+G32</f>
        <v>3723</v>
      </c>
    </row>
    <row r="34" spans="1:18" x14ac:dyDescent="0.25">
      <c r="A34" t="s">
        <v>234</v>
      </c>
      <c r="F34" s="106">
        <f>+'Forecast - Summary Assumptions'!I29</f>
        <v>49.831168831168831</v>
      </c>
      <c r="G34" s="106">
        <f>+'Forecast - Summary Assumptions'!I28</f>
        <v>3837</v>
      </c>
      <c r="L34" t="s">
        <v>234</v>
      </c>
      <c r="Q34" s="106">
        <f>+F34</f>
        <v>49.831168831168831</v>
      </c>
      <c r="R34" s="106">
        <f>+G34</f>
        <v>3837</v>
      </c>
    </row>
    <row r="36" spans="1:18" x14ac:dyDescent="0.25">
      <c r="A36" t="s">
        <v>233</v>
      </c>
      <c r="F36" s="106">
        <f>+'Forecast - Summary Assumptions'!J29</f>
        <v>51.15</v>
      </c>
      <c r="G36" s="106">
        <f>+'Forecast - Summary Assumptions'!J28</f>
        <v>4092</v>
      </c>
      <c r="L36" t="s">
        <v>233</v>
      </c>
      <c r="Q36" s="106">
        <f>+F36</f>
        <v>51.15</v>
      </c>
      <c r="R36" s="106">
        <f>+G36</f>
        <v>4092</v>
      </c>
    </row>
    <row r="38" spans="1:18" x14ac:dyDescent="0.25">
      <c r="A38" s="112" t="s">
        <v>232</v>
      </c>
      <c r="F38" s="20"/>
      <c r="L38" s="112" t="s">
        <v>232</v>
      </c>
      <c r="Q38" s="106">
        <f>+Assumptions!K47</f>
        <v>50.743902439024389</v>
      </c>
      <c r="R38" s="106">
        <f>+'Forecast - Summary IS by Qtr'!R15</f>
        <v>4177</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workbookViewId="0">
      <pane xSplit="1" ySplit="7" topLeftCell="B35" activePane="bottomRight" state="frozen"/>
      <selection pane="topRight" activeCell="B1" sqref="B1"/>
      <selection pane="bottomLeft" activeCell="A8" sqref="A8"/>
      <selection pane="bottomRight" activeCell="K16" sqref="K16"/>
    </sheetView>
  </sheetViews>
  <sheetFormatPr defaultRowHeight="15" x14ac:dyDescent="0.25"/>
  <cols>
    <col min="1" max="1" width="36.5703125" customWidth="1"/>
    <col min="11" max="11" width="10.85546875" bestFit="1" customWidth="1"/>
  </cols>
  <sheetData>
    <row r="1" spans="1:25" x14ac:dyDescent="0.25">
      <c r="A1" t="s">
        <v>58</v>
      </c>
    </row>
    <row r="2" spans="1:25" x14ac:dyDescent="0.25">
      <c r="A2" t="s">
        <v>59</v>
      </c>
    </row>
    <row r="5" spans="1:25" x14ac:dyDescent="0.25">
      <c r="K5" s="9"/>
    </row>
    <row r="6" spans="1:25" x14ac:dyDescent="0.25">
      <c r="B6" s="10" t="s">
        <v>33</v>
      </c>
      <c r="C6" s="12" t="s">
        <v>36</v>
      </c>
      <c r="D6" s="12" t="s">
        <v>37</v>
      </c>
      <c r="E6" s="12" t="s">
        <v>38</v>
      </c>
      <c r="F6" s="10" t="s">
        <v>33</v>
      </c>
      <c r="G6" s="12" t="s">
        <v>36</v>
      </c>
      <c r="H6" s="12" t="s">
        <v>37</v>
      </c>
      <c r="I6" s="12" t="s">
        <v>38</v>
      </c>
      <c r="J6" s="10" t="s">
        <v>33</v>
      </c>
      <c r="K6" s="12" t="s">
        <v>36</v>
      </c>
    </row>
    <row r="7" spans="1:25" x14ac:dyDescent="0.25">
      <c r="B7" s="11" t="s">
        <v>112</v>
      </c>
      <c r="C7" s="11" t="s">
        <v>34</v>
      </c>
      <c r="D7" s="11" t="s">
        <v>34</v>
      </c>
      <c r="E7" s="11" t="s">
        <v>34</v>
      </c>
      <c r="F7" s="11" t="s">
        <v>34</v>
      </c>
      <c r="G7" s="11" t="s">
        <v>39</v>
      </c>
      <c r="H7" s="11" t="s">
        <v>39</v>
      </c>
      <c r="I7" s="11" t="s">
        <v>39</v>
      </c>
      <c r="J7" s="11" t="s">
        <v>39</v>
      </c>
      <c r="K7" s="11" t="s">
        <v>50</v>
      </c>
    </row>
    <row r="8" spans="1:25" x14ac:dyDescent="0.25">
      <c r="A8" t="s">
        <v>47</v>
      </c>
    </row>
    <row r="9" spans="1:25" x14ac:dyDescent="0.25">
      <c r="A9" t="s">
        <v>48</v>
      </c>
    </row>
    <row r="10" spans="1:25" x14ac:dyDescent="0.25">
      <c r="A10" t="s">
        <v>49</v>
      </c>
      <c r="B10" s="7">
        <f>+'Store info by Qtr'!B7</f>
        <v>59</v>
      </c>
      <c r="C10" s="7">
        <f>+'Store info by Qtr'!C7</f>
        <v>62</v>
      </c>
      <c r="D10" s="7">
        <f>+'Store info by Qtr'!D7</f>
        <v>63</v>
      </c>
      <c r="E10" s="7">
        <f>+'Store info by Qtr'!E7</f>
        <v>65</v>
      </c>
      <c r="F10" s="7">
        <f>+'Store info by Qtr'!F7</f>
        <v>69</v>
      </c>
      <c r="G10" s="7">
        <f>+'Store info by Qtr'!G7</f>
        <v>71</v>
      </c>
      <c r="H10" s="7">
        <f>+'Store info by Qtr'!H7</f>
        <v>75</v>
      </c>
      <c r="I10" s="7">
        <f>+'Store info by Qtr'!I7</f>
        <v>77</v>
      </c>
      <c r="J10" s="7">
        <f>+'Store info by Qtr'!J7</f>
        <v>80</v>
      </c>
      <c r="K10">
        <v>82</v>
      </c>
    </row>
    <row r="11" spans="1:25" x14ac:dyDescent="0.25">
      <c r="B11" s="7"/>
      <c r="C11" s="7"/>
      <c r="D11" s="7"/>
      <c r="E11" s="7"/>
      <c r="F11" s="7"/>
      <c r="G11" s="7"/>
      <c r="H11" s="7"/>
      <c r="I11" s="7"/>
      <c r="J11" s="7"/>
    </row>
    <row r="12" spans="1:25" x14ac:dyDescent="0.25">
      <c r="B12" s="7"/>
      <c r="C12" s="43"/>
      <c r="D12" s="43"/>
      <c r="E12" s="43"/>
      <c r="F12" s="43"/>
      <c r="G12" s="43"/>
      <c r="H12" s="43"/>
      <c r="I12" s="43"/>
      <c r="J12" s="43"/>
    </row>
    <row r="13" spans="1:25" x14ac:dyDescent="0.25">
      <c r="A13" t="s">
        <v>66</v>
      </c>
      <c r="B13" s="7"/>
      <c r="C13" s="42">
        <v>1.9E-2</v>
      </c>
      <c r="D13" s="42">
        <v>3.2000000000000001E-2</v>
      </c>
      <c r="E13" s="42">
        <v>4.2000000000000003E-2</v>
      </c>
      <c r="F13" s="42">
        <v>3.2000000000000001E-2</v>
      </c>
      <c r="G13" s="42">
        <v>3.2000000000000001E-2</v>
      </c>
      <c r="H13" s="42">
        <v>0.01</v>
      </c>
      <c r="I13" s="42">
        <v>3.0000000000000001E-3</v>
      </c>
      <c r="J13" s="42">
        <v>-1.0999999999999999E-2</v>
      </c>
      <c r="K13" s="42">
        <v>-7.0000000000000001E-3</v>
      </c>
    </row>
    <row r="14" spans="1:25" x14ac:dyDescent="0.25">
      <c r="B14" s="7"/>
      <c r="C14" s="42"/>
      <c r="D14" s="42"/>
      <c r="E14" s="42"/>
      <c r="F14" s="42"/>
      <c r="G14" s="42"/>
      <c r="H14" s="42"/>
      <c r="I14" s="42"/>
      <c r="J14" s="42"/>
    </row>
    <row r="15" spans="1:25" x14ac:dyDescent="0.25">
      <c r="A15" t="s">
        <v>71</v>
      </c>
      <c r="G15" s="21">
        <f>+G16/C16-1</f>
        <v>1.9913974261405842E-2</v>
      </c>
      <c r="H15" s="21">
        <f t="shared" ref="H15:K15" si="0">+H16/D16-1</f>
        <v>-2.0148616013375475E-2</v>
      </c>
      <c r="I15" s="21">
        <f t="shared" si="0"/>
        <v>-2.2362227138306157E-2</v>
      </c>
      <c r="J15" s="21">
        <f t="shared" si="0"/>
        <v>-3.9145269937007621E-2</v>
      </c>
      <c r="K15" s="21">
        <f t="shared" si="0"/>
        <v>-3.5973219290959979E-2</v>
      </c>
    </row>
    <row r="16" spans="1:25" x14ac:dyDescent="0.25">
      <c r="A16" t="s">
        <v>53</v>
      </c>
      <c r="C16" s="7">
        <f>+C18/C10</f>
        <v>1077.8870967741937</v>
      </c>
      <c r="D16" s="7">
        <f t="shared" ref="D16:J16" si="1">+D18/D10</f>
        <v>1196.2222222222222</v>
      </c>
      <c r="E16" s="7">
        <f t="shared" si="1"/>
        <v>1137.0769230769231</v>
      </c>
      <c r="F16" s="7">
        <f t="shared" si="1"/>
        <v>1028.4202898550725</v>
      </c>
      <c r="G16" s="7">
        <f t="shared" si="1"/>
        <v>1099.3521126760563</v>
      </c>
      <c r="H16" s="7">
        <f t="shared" si="1"/>
        <v>1172.1199999999999</v>
      </c>
      <c r="I16" s="7">
        <f t="shared" si="1"/>
        <v>1111.6493506493507</v>
      </c>
      <c r="J16" s="7">
        <f t="shared" si="1"/>
        <v>988.16250000000002</v>
      </c>
      <c r="K16" s="7">
        <f t="shared" ref="K16" si="2">+K18/K10</f>
        <v>1059.8048780487804</v>
      </c>
      <c r="L16" s="7"/>
      <c r="M16" s="7"/>
      <c r="N16" s="7"/>
      <c r="O16" s="7"/>
      <c r="P16" s="7"/>
      <c r="Q16" s="7"/>
      <c r="R16" s="7"/>
      <c r="S16" s="7"/>
      <c r="T16" s="7"/>
      <c r="U16" s="7"/>
      <c r="V16" s="7"/>
      <c r="W16" s="7"/>
      <c r="X16" s="7"/>
      <c r="Y16" s="7"/>
    </row>
    <row r="17" spans="1:25" x14ac:dyDescent="0.25">
      <c r="A17" t="s">
        <v>67</v>
      </c>
      <c r="C17" s="7"/>
      <c r="D17" s="7"/>
      <c r="E17" s="7"/>
      <c r="F17" s="7">
        <f t="shared" ref="F17:K17" si="3">AVERAGE(C16:F16)</f>
        <v>1109.9016329821029</v>
      </c>
      <c r="G17" s="7">
        <f t="shared" si="3"/>
        <v>1115.2678869575686</v>
      </c>
      <c r="H17" s="7">
        <f t="shared" si="3"/>
        <v>1109.242331402013</v>
      </c>
      <c r="I17" s="7">
        <f t="shared" si="3"/>
        <v>1102.8854382951199</v>
      </c>
      <c r="J17" s="7">
        <f t="shared" si="3"/>
        <v>1092.8209908313518</v>
      </c>
      <c r="K17" s="7">
        <f t="shared" si="3"/>
        <v>1082.9341821745327</v>
      </c>
      <c r="L17" s="7"/>
      <c r="M17" s="7"/>
      <c r="N17" s="7"/>
      <c r="O17" s="7"/>
      <c r="P17" s="7"/>
      <c r="Q17" s="7"/>
      <c r="R17" s="7"/>
      <c r="S17" s="7"/>
      <c r="T17" s="7"/>
      <c r="U17" s="7"/>
      <c r="V17" s="7"/>
      <c r="W17" s="7"/>
      <c r="X17" s="7"/>
      <c r="Y17" s="7"/>
    </row>
    <row r="18" spans="1:25" x14ac:dyDescent="0.25">
      <c r="A18" t="s">
        <v>52</v>
      </c>
      <c r="C18" s="7">
        <f>+'IS by Qtr'!B11</f>
        <v>66829</v>
      </c>
      <c r="D18" s="7">
        <f>+'IS by Qtr'!C11</f>
        <v>75362</v>
      </c>
      <c r="E18" s="7">
        <f>+'IS by Qtr'!D11</f>
        <v>73910</v>
      </c>
      <c r="F18" s="7">
        <f>+'IS by Qtr'!E11</f>
        <v>70961</v>
      </c>
      <c r="G18" s="7">
        <f>+'IS by Qtr'!F11</f>
        <v>78054</v>
      </c>
      <c r="H18" s="7">
        <f>+'IS by Qtr'!G11</f>
        <v>87909</v>
      </c>
      <c r="I18" s="7">
        <f>+'IS by Qtr'!H11</f>
        <v>85597</v>
      </c>
      <c r="J18" s="7">
        <f>+'IS by Qtr'!I11</f>
        <v>79053</v>
      </c>
      <c r="K18" s="7">
        <f>+'IS by Qtr'!J11</f>
        <v>86904</v>
      </c>
      <c r="L18" s="7"/>
      <c r="M18" s="7"/>
      <c r="N18" s="7"/>
      <c r="O18" s="7"/>
      <c r="P18" s="7"/>
      <c r="Q18" s="7"/>
      <c r="R18" s="7"/>
      <c r="S18" s="7"/>
      <c r="T18" s="7"/>
      <c r="U18" s="7"/>
      <c r="V18" s="7"/>
      <c r="W18" s="7"/>
      <c r="X18" s="7"/>
    </row>
    <row r="19" spans="1:25" x14ac:dyDescent="0.25">
      <c r="A19" t="s">
        <v>54</v>
      </c>
      <c r="C19" s="21">
        <f>+C18/$F61</f>
        <v>0.23280336652012457</v>
      </c>
      <c r="D19" s="21">
        <f>+D18/$F61</f>
        <v>0.26252865234687978</v>
      </c>
      <c r="E19" s="21">
        <f>+E18/$F61</f>
        <v>0.2574705115967979</v>
      </c>
      <c r="F19" s="21">
        <f>+F18/$F61</f>
        <v>0.24719746953619776</v>
      </c>
      <c r="G19" s="21">
        <f>+G18/$J61</f>
        <v>0.23608872004428139</v>
      </c>
      <c r="H19" s="21">
        <f>+H18/$J61</f>
        <v>0.26589698529700889</v>
      </c>
      <c r="I19" s="21">
        <f>+I18/$J61</f>
        <v>0.25890391484908337</v>
      </c>
      <c r="J19" s="21">
        <f>+J18/$J61</f>
        <v>0.23911037980962635</v>
      </c>
      <c r="K19" s="21">
        <f>+K18/$J61</f>
        <v>0.26285717742496512</v>
      </c>
    </row>
    <row r="21" spans="1:25" x14ac:dyDescent="0.25">
      <c r="A21" t="s">
        <v>6</v>
      </c>
      <c r="C21" s="7">
        <f>+'IS by Qtr'!B13</f>
        <v>17544</v>
      </c>
      <c r="D21" s="7">
        <f>+'IS by Qtr'!C13</f>
        <v>19802</v>
      </c>
      <c r="E21" s="7">
        <f>+'IS by Qtr'!D13</f>
        <v>19674</v>
      </c>
      <c r="F21" s="7">
        <f>+'IS by Qtr'!E13</f>
        <v>18666</v>
      </c>
      <c r="G21" s="7">
        <f>+'IS by Qtr'!F13</f>
        <v>19998</v>
      </c>
      <c r="H21" s="7">
        <f>+'IS by Qtr'!G13</f>
        <v>22397</v>
      </c>
      <c r="I21" s="7">
        <f>+'IS by Qtr'!H13</f>
        <v>22528</v>
      </c>
      <c r="J21" s="7">
        <f>+'IS by Qtr'!I13</f>
        <v>20619</v>
      </c>
      <c r="K21" s="7">
        <f>+'IS by Qtr'!J13</f>
        <v>21825</v>
      </c>
    </row>
    <row r="22" spans="1:25" x14ac:dyDescent="0.25">
      <c r="A22" t="s">
        <v>56</v>
      </c>
      <c r="C22" s="21">
        <f>+C21/C18</f>
        <v>0.26252076194466473</v>
      </c>
      <c r="D22" s="21">
        <f t="shared" ref="D22:J22" si="4">+D21/D18</f>
        <v>0.26275841936254346</v>
      </c>
      <c r="E22" s="21">
        <f t="shared" si="4"/>
        <v>0.26618860776620212</v>
      </c>
      <c r="F22" s="21">
        <f t="shared" si="4"/>
        <v>0.26304589845126197</v>
      </c>
      <c r="G22" s="21">
        <f t="shared" si="4"/>
        <v>0.25620724114074872</v>
      </c>
      <c r="H22" s="21">
        <f t="shared" si="4"/>
        <v>0.25477482396569179</v>
      </c>
      <c r="I22" s="21">
        <f t="shared" si="4"/>
        <v>0.2631867939296938</v>
      </c>
      <c r="J22" s="21">
        <f t="shared" si="4"/>
        <v>0.26082501612842018</v>
      </c>
      <c r="K22" s="21">
        <f t="shared" ref="K22" si="5">+K21/K18</f>
        <v>0.25113918806959401</v>
      </c>
    </row>
    <row r="24" spans="1:25" x14ac:dyDescent="0.25">
      <c r="A24" t="s">
        <v>7</v>
      </c>
      <c r="C24" s="7">
        <f>+'IS by Qtr'!B14</f>
        <v>22146</v>
      </c>
      <c r="D24" s="7">
        <f>+'IS by Qtr'!C14</f>
        <v>24127</v>
      </c>
      <c r="E24" s="7">
        <f>+'IS by Qtr'!D14</f>
        <v>23641</v>
      </c>
      <c r="F24" s="7">
        <f>+'IS by Qtr'!E14</f>
        <v>23711</v>
      </c>
      <c r="G24" s="7">
        <f>+'IS by Qtr'!F14</f>
        <v>25680</v>
      </c>
      <c r="H24" s="7">
        <f>+'IS by Qtr'!G14</f>
        <v>28708</v>
      </c>
      <c r="I24" s="7">
        <f>+'IS by Qtr'!H14</f>
        <v>28469</v>
      </c>
      <c r="J24" s="7">
        <f>+'IS by Qtr'!I14</f>
        <v>27873</v>
      </c>
      <c r="K24" s="7">
        <f>+'IS by Qtr'!J14</f>
        <v>29699</v>
      </c>
    </row>
    <row r="25" spans="1:25" x14ac:dyDescent="0.25">
      <c r="A25" t="s">
        <v>56</v>
      </c>
      <c r="C25" s="21">
        <f>+C24/C18</f>
        <v>0.33138308219485552</v>
      </c>
      <c r="D25" s="21">
        <f t="shared" ref="D25:J25" si="6">+D24/D18</f>
        <v>0.32014808524189908</v>
      </c>
      <c r="E25" s="21">
        <f t="shared" si="6"/>
        <v>0.31986199431741308</v>
      </c>
      <c r="F25" s="21">
        <f t="shared" si="6"/>
        <v>0.3341412888769888</v>
      </c>
      <c r="G25" s="21">
        <f t="shared" si="6"/>
        <v>0.32900299792451382</v>
      </c>
      <c r="H25" s="21">
        <f t="shared" si="6"/>
        <v>0.32656497059459211</v>
      </c>
      <c r="I25" s="21">
        <f t="shared" si="6"/>
        <v>0.33259343201280417</v>
      </c>
      <c r="J25" s="21">
        <f t="shared" si="6"/>
        <v>0.35258623961139995</v>
      </c>
      <c r="K25" s="21">
        <f t="shared" ref="K25" si="7">+K24/K18</f>
        <v>0.34174491392801254</v>
      </c>
    </row>
    <row r="27" spans="1:25" x14ac:dyDescent="0.25">
      <c r="A27" s="2" t="s">
        <v>8</v>
      </c>
      <c r="C27" s="7">
        <f>+'IS by Qtr'!B15</f>
        <v>9331</v>
      </c>
      <c r="D27" s="7">
        <f>+'IS by Qtr'!C15</f>
        <v>10168</v>
      </c>
      <c r="E27" s="7">
        <f>+'IS by Qtr'!D15</f>
        <v>10235</v>
      </c>
      <c r="F27" s="7">
        <f>+'IS by Qtr'!E15</f>
        <v>10220</v>
      </c>
      <c r="G27" s="7">
        <f>+'IS by Qtr'!F15</f>
        <v>10556</v>
      </c>
      <c r="H27" s="7">
        <f>+'IS by Qtr'!G15</f>
        <v>12034</v>
      </c>
      <c r="I27" s="7">
        <f>+'IS by Qtr'!H15</f>
        <v>12003</v>
      </c>
      <c r="J27" s="7">
        <f>+'IS by Qtr'!I15</f>
        <v>11307</v>
      </c>
      <c r="K27" s="7">
        <f>+'IS by Qtr'!J15</f>
        <v>12032</v>
      </c>
    </row>
    <row r="28" spans="1:25" x14ac:dyDescent="0.25">
      <c r="A28" t="s">
        <v>56</v>
      </c>
      <c r="C28" s="21">
        <f>+C27/C18</f>
        <v>0.13962501309311826</v>
      </c>
      <c r="D28" s="21">
        <f t="shared" ref="D28:J28" si="8">+D27/D18</f>
        <v>0.13492210928584697</v>
      </c>
      <c r="E28" s="21">
        <f t="shared" si="8"/>
        <v>0.13847923149776756</v>
      </c>
      <c r="F28" s="21">
        <f t="shared" si="8"/>
        <v>0.14402277307253281</v>
      </c>
      <c r="G28" s="21">
        <f t="shared" si="8"/>
        <v>0.13523970584467163</v>
      </c>
      <c r="H28" s="21">
        <f t="shared" si="8"/>
        <v>0.13689155831598585</v>
      </c>
      <c r="I28" s="21">
        <f t="shared" si="8"/>
        <v>0.14022687711017909</v>
      </c>
      <c r="J28" s="21">
        <f t="shared" si="8"/>
        <v>0.14303062502371827</v>
      </c>
      <c r="K28" s="21">
        <f t="shared" ref="K28" si="9">+K27/K18</f>
        <v>0.13845162478136794</v>
      </c>
    </row>
    <row r="29" spans="1:25" x14ac:dyDescent="0.25">
      <c r="A29" s="2"/>
    </row>
    <row r="30" spans="1:25" x14ac:dyDescent="0.25">
      <c r="A30" s="2" t="s">
        <v>9</v>
      </c>
      <c r="C30" s="7">
        <f>+'IS by Qtr'!B16</f>
        <v>4480</v>
      </c>
      <c r="D30" s="7">
        <f>+'IS by Qtr'!C16</f>
        <v>4867</v>
      </c>
      <c r="E30" s="7">
        <f>+'IS by Qtr'!D16</f>
        <v>4802</v>
      </c>
      <c r="F30" s="7">
        <f>+'IS by Qtr'!E16</f>
        <v>4870</v>
      </c>
      <c r="G30" s="7">
        <f>+'IS by Qtr'!F16</f>
        <v>5305</v>
      </c>
      <c r="H30" s="7">
        <f>+'IS by Qtr'!G16</f>
        <v>5637</v>
      </c>
      <c r="I30" s="7">
        <f>+'IS by Qtr'!H16</f>
        <v>5695</v>
      </c>
      <c r="J30" s="7">
        <f>+'IS by Qtr'!I16</f>
        <v>5567</v>
      </c>
      <c r="K30" s="7">
        <f>+'IS by Qtr'!J16</f>
        <v>6121</v>
      </c>
    </row>
    <row r="31" spans="1:25" x14ac:dyDescent="0.25">
      <c r="A31" s="8" t="s">
        <v>57</v>
      </c>
      <c r="C31" s="22">
        <f>+C30/C10</f>
        <v>72.258064516129039</v>
      </c>
      <c r="D31" s="22">
        <f t="shared" ref="D31:J31" si="10">+D30/D10</f>
        <v>77.253968253968253</v>
      </c>
      <c r="E31" s="22">
        <f t="shared" si="10"/>
        <v>73.876923076923077</v>
      </c>
      <c r="F31" s="22">
        <f t="shared" si="10"/>
        <v>70.579710144927532</v>
      </c>
      <c r="G31" s="22">
        <f t="shared" si="10"/>
        <v>74.718309859154928</v>
      </c>
      <c r="H31" s="22">
        <f t="shared" si="10"/>
        <v>75.16</v>
      </c>
      <c r="I31" s="22">
        <f t="shared" si="10"/>
        <v>73.961038961038966</v>
      </c>
      <c r="J31" s="22">
        <f t="shared" si="10"/>
        <v>69.587500000000006</v>
      </c>
      <c r="K31" s="22">
        <f t="shared" ref="K31" si="11">+K30/K10</f>
        <v>74.646341463414629</v>
      </c>
    </row>
    <row r="32" spans="1:25" x14ac:dyDescent="0.25">
      <c r="A32" s="2"/>
    </row>
    <row r="33" spans="1:11" x14ac:dyDescent="0.25">
      <c r="A33" s="2" t="s">
        <v>10</v>
      </c>
      <c r="C33" s="7">
        <f>+'IS by Qtr'!B17</f>
        <v>4084</v>
      </c>
      <c r="D33" s="7">
        <f>+'IS by Qtr'!C17</f>
        <v>4299</v>
      </c>
      <c r="E33" s="7">
        <f>+'IS by Qtr'!D17</f>
        <v>4073</v>
      </c>
      <c r="F33" s="7">
        <f>+'IS by Qtr'!E17</f>
        <v>3720</v>
      </c>
      <c r="G33" s="7">
        <f>+'IS by Qtr'!F17</f>
        <v>4533</v>
      </c>
      <c r="H33" s="7">
        <f>+'IS by Qtr'!G17</f>
        <v>4870</v>
      </c>
      <c r="I33" s="7">
        <f>+'IS by Qtr'!H17</f>
        <v>4132</v>
      </c>
      <c r="J33" s="7">
        <f>+'IS by Qtr'!I17</f>
        <v>4025</v>
      </c>
      <c r="K33" s="7">
        <f>+'IS by Qtr'!J17</f>
        <v>4872</v>
      </c>
    </row>
    <row r="34" spans="1:11" x14ac:dyDescent="0.25">
      <c r="A34" s="8" t="s">
        <v>57</v>
      </c>
      <c r="C34" s="22">
        <f>+C33/C10</f>
        <v>65.870967741935488</v>
      </c>
      <c r="D34" s="22">
        <f t="shared" ref="D34:J34" si="12">+D33/D10</f>
        <v>68.238095238095241</v>
      </c>
      <c r="E34" s="22">
        <f t="shared" si="12"/>
        <v>62.661538461538463</v>
      </c>
      <c r="F34" s="22">
        <f t="shared" si="12"/>
        <v>53.913043478260867</v>
      </c>
      <c r="G34" s="22">
        <f t="shared" si="12"/>
        <v>63.845070422535208</v>
      </c>
      <c r="H34" s="22">
        <f t="shared" si="12"/>
        <v>64.933333333333337</v>
      </c>
      <c r="I34" s="22">
        <f t="shared" si="12"/>
        <v>53.662337662337663</v>
      </c>
      <c r="J34" s="22">
        <f t="shared" si="12"/>
        <v>50.3125</v>
      </c>
      <c r="K34" s="22">
        <f t="shared" ref="K34" si="13">+K33/K10</f>
        <v>59.414634146341463</v>
      </c>
    </row>
    <row r="35" spans="1:11" x14ac:dyDescent="0.25">
      <c r="A35" t="s">
        <v>56</v>
      </c>
      <c r="C35" s="21">
        <f>+C33/C18</f>
        <v>6.1111194242020682E-2</v>
      </c>
      <c r="D35" s="21">
        <f t="shared" ref="D35:J35" si="14">+D33/D18</f>
        <v>5.7044664419734083E-2</v>
      </c>
      <c r="E35" s="21">
        <f t="shared" si="14"/>
        <v>5.5107563252604519E-2</v>
      </c>
      <c r="F35" s="21">
        <f t="shared" si="14"/>
        <v>5.2423162018573582E-2</v>
      </c>
      <c r="G35" s="21">
        <f t="shared" si="14"/>
        <v>5.8075178722422939E-2</v>
      </c>
      <c r="H35" s="21">
        <f t="shared" si="14"/>
        <v>5.539819586162964E-2</v>
      </c>
      <c r="I35" s="21">
        <f t="shared" si="14"/>
        <v>4.8272719838312092E-2</v>
      </c>
      <c r="J35" s="21">
        <f t="shared" si="14"/>
        <v>5.091520878398037E-2</v>
      </c>
      <c r="K35" s="21">
        <f t="shared" ref="K35" si="15">+K33/K18</f>
        <v>5.6061861364264012E-2</v>
      </c>
    </row>
    <row r="36" spans="1:11" x14ac:dyDescent="0.25">
      <c r="A36" s="2"/>
    </row>
    <row r="37" spans="1:11" x14ac:dyDescent="0.25">
      <c r="A37" s="2" t="s">
        <v>11</v>
      </c>
      <c r="C37" s="7">
        <f>+'IS by Qtr'!B18</f>
        <v>535</v>
      </c>
      <c r="D37" s="7">
        <f>+'IS by Qtr'!C18</f>
        <v>609</v>
      </c>
      <c r="E37" s="7">
        <f>+'IS by Qtr'!D18</f>
        <v>576</v>
      </c>
      <c r="F37" s="7">
        <f>+'IS by Qtr'!E18</f>
        <v>529</v>
      </c>
      <c r="G37" s="7">
        <f>+'IS by Qtr'!F18</f>
        <v>583</v>
      </c>
      <c r="H37" s="7">
        <f>+'IS by Qtr'!G18</f>
        <v>692</v>
      </c>
      <c r="I37" s="7">
        <f>+'IS by Qtr'!H18</f>
        <v>641</v>
      </c>
      <c r="J37" s="7">
        <f>+'IS by Qtr'!I18</f>
        <v>474</v>
      </c>
      <c r="K37" s="7">
        <f>+'IS by Qtr'!J18</f>
        <v>631</v>
      </c>
    </row>
    <row r="38" spans="1:11" x14ac:dyDescent="0.25">
      <c r="A38" t="s">
        <v>56</v>
      </c>
      <c r="C38" s="21">
        <f>+C37/C18</f>
        <v>8.0055065914498204E-3</v>
      </c>
      <c r="D38" s="21">
        <f t="shared" ref="D38:J38" si="16">+D37/D18</f>
        <v>8.0809957272896162E-3</v>
      </c>
      <c r="E38" s="21">
        <f t="shared" si="16"/>
        <v>7.7932620754972261E-3</v>
      </c>
      <c r="F38" s="21">
        <f t="shared" si="16"/>
        <v>7.4547991150068346E-3</v>
      </c>
      <c r="G38" s="21">
        <f t="shared" si="16"/>
        <v>7.4691879980526305E-3</v>
      </c>
      <c r="H38" s="21">
        <f t="shared" si="16"/>
        <v>7.8717764961494276E-3</v>
      </c>
      <c r="I38" s="21">
        <f t="shared" si="16"/>
        <v>7.4885802072502542E-3</v>
      </c>
      <c r="J38" s="21">
        <f t="shared" si="16"/>
        <v>5.9959773822625328E-3</v>
      </c>
      <c r="K38" s="21">
        <f t="shared" ref="K38" si="17">+K37/K18</f>
        <v>7.2608855748872315E-3</v>
      </c>
    </row>
    <row r="39" spans="1:11" x14ac:dyDescent="0.25">
      <c r="A39" s="2"/>
    </row>
    <row r="40" spans="1:11" x14ac:dyDescent="0.25">
      <c r="A40" s="2" t="s">
        <v>12</v>
      </c>
      <c r="C40" s="7">
        <f>+'IS by Qtr'!B19</f>
        <v>1108</v>
      </c>
      <c r="D40" s="7">
        <f>+'IS by Qtr'!C19</f>
        <v>699</v>
      </c>
      <c r="E40" s="7">
        <f>+'IS by Qtr'!D19</f>
        <v>1067</v>
      </c>
      <c r="F40" s="7">
        <f>+'IS by Qtr'!E19</f>
        <v>1543</v>
      </c>
      <c r="G40" s="7">
        <f>+'IS by Qtr'!F19</f>
        <v>1433</v>
      </c>
      <c r="H40" s="7">
        <f>+'IS by Qtr'!G19</f>
        <v>1534</v>
      </c>
      <c r="I40" s="7">
        <f>+'IS by Qtr'!H19</f>
        <v>1178</v>
      </c>
      <c r="J40" s="7">
        <f>+'IS by Qtr'!I19</f>
        <v>1203</v>
      </c>
      <c r="K40" s="7">
        <f>+'IS by Qtr'!J19</f>
        <v>1102</v>
      </c>
    </row>
    <row r="41" spans="1:11" x14ac:dyDescent="0.25">
      <c r="A41" s="2" t="s">
        <v>60</v>
      </c>
      <c r="C41" s="7">
        <f>C40/(C10-B10)</f>
        <v>369.33333333333331</v>
      </c>
      <c r="D41" s="7">
        <f t="shared" ref="D41:K41" si="18">D40/(D10-C10)</f>
        <v>699</v>
      </c>
      <c r="E41" s="7">
        <f t="shared" si="18"/>
        <v>533.5</v>
      </c>
      <c r="F41" s="7">
        <f t="shared" si="18"/>
        <v>385.75</v>
      </c>
      <c r="G41" s="7">
        <f t="shared" si="18"/>
        <v>716.5</v>
      </c>
      <c r="H41" s="7">
        <f t="shared" si="18"/>
        <v>383.5</v>
      </c>
      <c r="I41" s="7">
        <f t="shared" si="18"/>
        <v>589</v>
      </c>
      <c r="J41" s="7">
        <f t="shared" si="18"/>
        <v>401</v>
      </c>
      <c r="K41" s="7">
        <f t="shared" si="18"/>
        <v>551</v>
      </c>
    </row>
    <row r="42" spans="1:11" x14ac:dyDescent="0.25">
      <c r="A42" s="2"/>
    </row>
    <row r="43" spans="1:11" x14ac:dyDescent="0.25">
      <c r="A43" s="2" t="s">
        <v>31</v>
      </c>
      <c r="C43" s="7">
        <f>+'IS by Qtr'!B20</f>
        <v>0</v>
      </c>
      <c r="D43" s="7">
        <f>+'IS by Qtr'!C20</f>
        <v>0</v>
      </c>
      <c r="E43" s="7">
        <f>+'IS by Qtr'!D20</f>
        <v>0</v>
      </c>
      <c r="F43" s="7">
        <f>+'IS by Qtr'!E20</f>
        <v>4360</v>
      </c>
      <c r="G43" s="7">
        <f>+'IS by Qtr'!F20</f>
        <v>0</v>
      </c>
      <c r="H43" s="7">
        <f>+'IS by Qtr'!G20</f>
        <v>0</v>
      </c>
      <c r="I43" s="7">
        <f>+'IS by Qtr'!H20</f>
        <v>390</v>
      </c>
      <c r="J43" s="7">
        <f>+'IS by Qtr'!I20</f>
        <v>1127</v>
      </c>
      <c r="K43" s="7">
        <f>+'IS by Qtr'!J20</f>
        <v>0</v>
      </c>
    </row>
    <row r="44" spans="1:11" x14ac:dyDescent="0.25">
      <c r="A44" s="2"/>
    </row>
    <row r="45" spans="1:11" x14ac:dyDescent="0.25">
      <c r="A45" s="2"/>
    </row>
    <row r="46" spans="1:11" x14ac:dyDescent="0.25">
      <c r="A46" s="2" t="s">
        <v>13</v>
      </c>
      <c r="C46" s="7">
        <f>+'IS by Qtr'!B21</f>
        <v>2998</v>
      </c>
      <c r="D46" s="7">
        <f>+'IS by Qtr'!C21</f>
        <v>3194</v>
      </c>
      <c r="E46" s="7">
        <f>+'IS by Qtr'!D21</f>
        <v>3230</v>
      </c>
      <c r="F46" s="7">
        <f>+'IS by Qtr'!E21</f>
        <v>3405</v>
      </c>
      <c r="G46" s="7">
        <f>+'IS by Qtr'!F21</f>
        <v>3477</v>
      </c>
      <c r="H46" s="7">
        <f>+'IS by Qtr'!G21</f>
        <v>3707</v>
      </c>
      <c r="I46" s="7">
        <f>+'IS by Qtr'!H21</f>
        <v>3821</v>
      </c>
      <c r="J46" s="7">
        <f>+'IS by Qtr'!I21</f>
        <v>4076</v>
      </c>
      <c r="K46" s="7">
        <f>+'IS by Qtr'!J21</f>
        <v>4161</v>
      </c>
    </row>
    <row r="47" spans="1:11" x14ac:dyDescent="0.25">
      <c r="A47" t="s">
        <v>57</v>
      </c>
      <c r="C47" s="23">
        <f>+C46/C10</f>
        <v>48.354838709677416</v>
      </c>
      <c r="D47" s="23">
        <f t="shared" ref="D47:J47" si="19">+D46/D10</f>
        <v>50.698412698412696</v>
      </c>
      <c r="E47" s="23">
        <f t="shared" si="19"/>
        <v>49.692307692307693</v>
      </c>
      <c r="F47" s="23">
        <f t="shared" si="19"/>
        <v>49.347826086956523</v>
      </c>
      <c r="G47" s="23">
        <f t="shared" si="19"/>
        <v>48.971830985915496</v>
      </c>
      <c r="H47" s="23">
        <f t="shared" si="19"/>
        <v>49.426666666666669</v>
      </c>
      <c r="I47" s="23">
        <f t="shared" si="19"/>
        <v>49.623376623376622</v>
      </c>
      <c r="J47" s="23">
        <f t="shared" si="19"/>
        <v>50.95</v>
      </c>
      <c r="K47" s="23">
        <f t="shared" ref="K47" si="20">+K46/K10</f>
        <v>50.743902439024389</v>
      </c>
    </row>
    <row r="49" spans="1:11" x14ac:dyDescent="0.25">
      <c r="A49" t="s">
        <v>62</v>
      </c>
      <c r="C49" s="7">
        <f>+'IS by Qtr'!B26</f>
        <v>4556</v>
      </c>
      <c r="D49" s="7">
        <f>+'IS by Qtr'!C26</f>
        <v>7567</v>
      </c>
      <c r="E49" s="7">
        <f>+'IS by Qtr'!D26</f>
        <v>6596</v>
      </c>
      <c r="F49" s="7">
        <f>+'IS by Qtr'!E26</f>
        <v>-80</v>
      </c>
      <c r="G49" s="7">
        <f>+'IS by Qtr'!F26</f>
        <v>6474</v>
      </c>
      <c r="H49" s="7">
        <f>+'IS by Qtr'!G26</f>
        <v>8314</v>
      </c>
      <c r="I49" s="7">
        <f>+'IS by Qtr'!H26</f>
        <v>6724</v>
      </c>
      <c r="J49" s="7">
        <f>+'IS by Qtr'!I26</f>
        <v>2766</v>
      </c>
      <c r="K49" s="7">
        <f>+'IS by Qtr'!J26</f>
        <v>6445</v>
      </c>
    </row>
    <row r="50" spans="1:11" x14ac:dyDescent="0.25">
      <c r="A50" t="s">
        <v>63</v>
      </c>
      <c r="C50" s="7">
        <f>+'IS by Qtr'!B27</f>
        <v>1321</v>
      </c>
      <c r="D50" s="7">
        <f>+'IS by Qtr'!C27</f>
        <v>2194</v>
      </c>
      <c r="E50" s="7">
        <f>+'IS by Qtr'!D27</f>
        <v>2527</v>
      </c>
      <c r="F50" s="7">
        <f>+'IS by Qtr'!E27</f>
        <v>-299</v>
      </c>
      <c r="G50" s="7">
        <f>+'IS by Qtr'!F27</f>
        <v>1942</v>
      </c>
      <c r="H50" s="7">
        <f>+'IS by Qtr'!G27</f>
        <v>2534</v>
      </c>
      <c r="I50" s="7">
        <f>+'IS by Qtr'!H27</f>
        <v>2125</v>
      </c>
      <c r="J50" s="7">
        <f>+'IS by Qtr'!I27</f>
        <v>433</v>
      </c>
      <c r="K50" s="7">
        <f>+'IS by Qtr'!J27</f>
        <v>1895</v>
      </c>
    </row>
    <row r="51" spans="1:11" x14ac:dyDescent="0.25">
      <c r="A51" t="s">
        <v>64</v>
      </c>
      <c r="C51" s="21">
        <f>+C50/C49</f>
        <v>0.28994732221246705</v>
      </c>
      <c r="D51" s="21">
        <f t="shared" ref="D51:J51" si="21">+D50/D49</f>
        <v>0.28994317430950178</v>
      </c>
      <c r="E51" s="21">
        <f t="shared" si="21"/>
        <v>0.38311097634930263</v>
      </c>
      <c r="F51" s="21">
        <f t="shared" si="21"/>
        <v>3.7374999999999998</v>
      </c>
      <c r="G51" s="21">
        <f t="shared" si="21"/>
        <v>0.29996910719802283</v>
      </c>
      <c r="H51" s="21">
        <f t="shared" si="21"/>
        <v>0.30478710608611981</v>
      </c>
      <c r="I51" s="21">
        <f t="shared" si="21"/>
        <v>0.31603212373587153</v>
      </c>
      <c r="J51" s="21">
        <f t="shared" si="21"/>
        <v>0.15654374548083877</v>
      </c>
      <c r="K51" s="21">
        <f t="shared" ref="K51" si="22">+K50/K49</f>
        <v>0.29402637703646239</v>
      </c>
    </row>
    <row r="53" spans="1:11" x14ac:dyDescent="0.25">
      <c r="A53" t="s">
        <v>19</v>
      </c>
      <c r="C53" s="7">
        <f>+'IS by Qtr'!B29</f>
        <v>3235</v>
      </c>
      <c r="D53" s="7">
        <f>+'IS by Qtr'!C29</f>
        <v>5373</v>
      </c>
      <c r="E53" s="7">
        <f>+'IS by Qtr'!D29</f>
        <v>4069</v>
      </c>
      <c r="F53" s="7">
        <f>+'IS by Qtr'!E29</f>
        <v>219</v>
      </c>
      <c r="G53" s="7">
        <f>+'IS by Qtr'!F29</f>
        <v>4532</v>
      </c>
      <c r="H53" s="7">
        <f>+'IS by Qtr'!G29</f>
        <v>5780</v>
      </c>
      <c r="I53" s="7">
        <f>+'IS by Qtr'!H29</f>
        <v>4599</v>
      </c>
      <c r="J53" s="7">
        <f>+'IS by Qtr'!I29</f>
        <v>2333</v>
      </c>
      <c r="K53" s="7">
        <f>+'IS by Qtr'!J29</f>
        <v>4550</v>
      </c>
    </row>
    <row r="54" spans="1:11" x14ac:dyDescent="0.25">
      <c r="A54" t="s">
        <v>56</v>
      </c>
      <c r="C54" s="21">
        <f t="shared" ref="C54:J54" si="23">+C53/C18</f>
        <v>4.8407128641757322E-2</v>
      </c>
      <c r="D54" s="21">
        <f t="shared" si="23"/>
        <v>7.1295878559486214E-2</v>
      </c>
      <c r="E54" s="21">
        <f t="shared" si="23"/>
        <v>5.5053443377080236E-2</v>
      </c>
      <c r="F54" s="21">
        <f t="shared" si="23"/>
        <v>3.0862022801257027E-3</v>
      </c>
      <c r="G54" s="21">
        <f t="shared" si="23"/>
        <v>5.8062367079201579E-2</v>
      </c>
      <c r="H54" s="21">
        <f t="shared" si="23"/>
        <v>6.5749809462057357E-2</v>
      </c>
      <c r="I54" s="21">
        <f t="shared" si="23"/>
        <v>5.372851852284543E-2</v>
      </c>
      <c r="J54" s="21">
        <f t="shared" si="23"/>
        <v>2.951184648273943E-2</v>
      </c>
      <c r="K54" s="21">
        <f t="shared" ref="K54" si="24">+K53/K18</f>
        <v>5.2356623400533923E-2</v>
      </c>
    </row>
    <row r="59" spans="1:11" x14ac:dyDescent="0.25">
      <c r="F59" s="9" t="s">
        <v>55</v>
      </c>
      <c r="J59" s="9" t="s">
        <v>55</v>
      </c>
    </row>
    <row r="60" spans="1:11" x14ac:dyDescent="0.25">
      <c r="F60" s="11" t="s">
        <v>34</v>
      </c>
      <c r="J60" s="11" t="s">
        <v>39</v>
      </c>
    </row>
    <row r="61" spans="1:11" x14ac:dyDescent="0.25">
      <c r="A61" t="s">
        <v>52</v>
      </c>
      <c r="F61" s="7">
        <f>SUM(C18:F18)</f>
        <v>287062</v>
      </c>
      <c r="J61" s="7">
        <f>SUM(G18:J18)</f>
        <v>330613</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21"/>
  <sheetViews>
    <sheetView workbookViewId="0">
      <selection activeCell="G10" sqref="G10"/>
    </sheetView>
  </sheetViews>
  <sheetFormatPr defaultRowHeight="15" x14ac:dyDescent="0.25"/>
  <cols>
    <col min="1" max="1" width="56.85546875" customWidth="1"/>
    <col min="2" max="2" width="13.28515625" customWidth="1"/>
    <col min="3" max="3" width="11.5703125" customWidth="1"/>
    <col min="4" max="4" width="11.28515625" customWidth="1"/>
    <col min="5" max="5" width="11.5703125" customWidth="1"/>
    <col min="6" max="6" width="10.5703125" customWidth="1"/>
    <col min="7" max="7" width="12" customWidth="1"/>
    <col min="8" max="8" width="13.140625" customWidth="1"/>
    <col min="9" max="9" width="13.85546875" customWidth="1"/>
    <col min="10" max="10" width="13.140625" customWidth="1"/>
    <col min="11" max="11" width="10.5703125" customWidth="1"/>
  </cols>
  <sheetData>
    <row r="4" spans="1:15" x14ac:dyDescent="0.25">
      <c r="F4" s="8"/>
      <c r="I4" s="8"/>
      <c r="N4" t="s">
        <v>45</v>
      </c>
    </row>
    <row r="5" spans="1:15" x14ac:dyDescent="0.25">
      <c r="A5" s="8" t="s">
        <v>1</v>
      </c>
      <c r="B5" s="10" t="s">
        <v>33</v>
      </c>
      <c r="C5" s="12" t="s">
        <v>36</v>
      </c>
      <c r="D5" s="12" t="s">
        <v>37</v>
      </c>
      <c r="E5" s="12" t="s">
        <v>38</v>
      </c>
      <c r="F5" s="10" t="s">
        <v>33</v>
      </c>
      <c r="G5" s="12" t="s">
        <v>36</v>
      </c>
      <c r="H5" s="12" t="s">
        <v>37</v>
      </c>
      <c r="I5" s="12" t="s">
        <v>38</v>
      </c>
      <c r="J5" s="10" t="s">
        <v>33</v>
      </c>
      <c r="M5" s="10" t="s">
        <v>33</v>
      </c>
      <c r="N5" s="10" t="s">
        <v>33</v>
      </c>
      <c r="O5" s="10" t="s">
        <v>33</v>
      </c>
    </row>
    <row r="6" spans="1:15" x14ac:dyDescent="0.25">
      <c r="A6" s="8" t="s">
        <v>1</v>
      </c>
      <c r="B6" s="11">
        <v>2014</v>
      </c>
      <c r="C6" s="11" t="s">
        <v>34</v>
      </c>
      <c r="D6" s="11" t="s">
        <v>34</v>
      </c>
      <c r="E6" s="11" t="s">
        <v>34</v>
      </c>
      <c r="F6" s="11" t="s">
        <v>34</v>
      </c>
      <c r="G6" s="11" t="s">
        <v>39</v>
      </c>
      <c r="H6" s="11" t="s">
        <v>39</v>
      </c>
      <c r="I6" s="11" t="s">
        <v>39</v>
      </c>
      <c r="J6" s="11" t="s">
        <v>39</v>
      </c>
      <c r="M6" s="11">
        <v>2014</v>
      </c>
      <c r="N6" s="11" t="s">
        <v>34</v>
      </c>
      <c r="O6" s="11" t="s">
        <v>39</v>
      </c>
    </row>
    <row r="7" spans="1:15" x14ac:dyDescent="0.25">
      <c r="A7" s="8" t="s">
        <v>40</v>
      </c>
      <c r="B7" s="14">
        <v>59</v>
      </c>
      <c r="C7" s="14">
        <v>62</v>
      </c>
      <c r="D7" s="14">
        <v>63</v>
      </c>
      <c r="E7" s="14">
        <v>65</v>
      </c>
      <c r="F7" s="14">
        <v>69</v>
      </c>
      <c r="G7" s="14">
        <v>71</v>
      </c>
      <c r="H7" s="14">
        <v>75</v>
      </c>
      <c r="I7" s="14">
        <v>77</v>
      </c>
      <c r="J7" s="14">
        <v>80</v>
      </c>
      <c r="M7" s="14">
        <v>59</v>
      </c>
      <c r="N7" s="14">
        <v>69</v>
      </c>
      <c r="O7" s="14">
        <v>80</v>
      </c>
    </row>
    <row r="8" spans="1:15" x14ac:dyDescent="0.25">
      <c r="A8" s="8" t="s">
        <v>41</v>
      </c>
      <c r="B8" s="14">
        <v>41</v>
      </c>
      <c r="C8" s="14">
        <v>44</v>
      </c>
      <c r="D8" s="14">
        <v>46</v>
      </c>
      <c r="E8" s="14">
        <v>48</v>
      </c>
      <c r="F8" s="14">
        <v>51</v>
      </c>
      <c r="G8" s="14">
        <v>54</v>
      </c>
      <c r="H8" s="14">
        <v>58</v>
      </c>
      <c r="I8" s="14">
        <v>58</v>
      </c>
      <c r="J8" s="14">
        <v>61</v>
      </c>
      <c r="M8" s="14">
        <v>41</v>
      </c>
      <c r="N8" s="14">
        <v>51</v>
      </c>
      <c r="O8" s="14">
        <v>61</v>
      </c>
    </row>
    <row r="9" spans="1:15" x14ac:dyDescent="0.25">
      <c r="A9" s="8" t="s">
        <v>42</v>
      </c>
      <c r="B9" s="18">
        <v>4868</v>
      </c>
      <c r="C9" s="15">
        <v>1178</v>
      </c>
      <c r="D9" s="15">
        <v>1252</v>
      </c>
      <c r="E9" s="15">
        <v>1200</v>
      </c>
      <c r="F9" s="18">
        <v>4729</v>
      </c>
      <c r="G9" s="15">
        <v>1150</v>
      </c>
      <c r="H9" s="15">
        <v>1200</v>
      </c>
      <c r="I9" s="15">
        <v>1165</v>
      </c>
      <c r="J9" s="18">
        <v>4581</v>
      </c>
      <c r="M9" s="15">
        <v>4868</v>
      </c>
      <c r="N9" s="15">
        <v>4729</v>
      </c>
      <c r="O9" s="15">
        <v>4581</v>
      </c>
    </row>
    <row r="10" spans="1:15" x14ac:dyDescent="0.25">
      <c r="A10" s="8" t="s">
        <v>43</v>
      </c>
      <c r="B10" s="19">
        <v>3.3000000000000002E-2</v>
      </c>
      <c r="C10" s="16">
        <v>1.9E-2</v>
      </c>
      <c r="D10" s="16">
        <v>3.2000000000000001E-2</v>
      </c>
      <c r="E10" s="16">
        <v>4.2000000000000003E-2</v>
      </c>
      <c r="F10" s="19">
        <v>3.1E-2</v>
      </c>
      <c r="G10" s="16">
        <v>3.2000000000000001E-2</v>
      </c>
      <c r="H10" s="16">
        <v>0.01</v>
      </c>
      <c r="I10" s="16">
        <v>3.0000000000000001E-3</v>
      </c>
      <c r="J10" s="19">
        <v>8.0000000000000002E-3</v>
      </c>
      <c r="M10" s="16">
        <v>3.3000000000000002E-2</v>
      </c>
      <c r="N10" s="16">
        <v>3.1E-2</v>
      </c>
      <c r="O10" s="16">
        <v>8.0000000000000002E-3</v>
      </c>
    </row>
    <row r="11" spans="1:15" x14ac:dyDescent="0.25">
      <c r="A11" s="8" t="s">
        <v>44</v>
      </c>
      <c r="B11" s="17">
        <v>13.71</v>
      </c>
      <c r="C11" s="17">
        <v>14.08</v>
      </c>
      <c r="D11" s="17">
        <v>14.36</v>
      </c>
      <c r="E11" s="17">
        <v>14.27</v>
      </c>
      <c r="F11" s="17">
        <v>14.23</v>
      </c>
      <c r="G11" s="17">
        <v>14.4</v>
      </c>
      <c r="H11" s="17">
        <v>14.61</v>
      </c>
      <c r="I11" s="17">
        <v>14.48</v>
      </c>
      <c r="J11" s="17">
        <v>14.48</v>
      </c>
      <c r="M11" s="17">
        <v>13.71</v>
      </c>
      <c r="N11" s="17">
        <v>14.23</v>
      </c>
      <c r="O11" s="17">
        <v>14.48</v>
      </c>
    </row>
    <row r="21" spans="5:5" x14ac:dyDescent="0.25">
      <c r="E21" s="20" t="s">
        <v>46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K38"/>
  <sheetViews>
    <sheetView workbookViewId="0">
      <pane xSplit="1" ySplit="10" topLeftCell="B11" activePane="bottomRight" state="frozen"/>
      <selection pane="topRight" activeCell="B1" sqref="B1"/>
      <selection pane="bottomLeft" activeCell="A11" sqref="A11"/>
      <selection pane="bottomRight" activeCell="B14" sqref="B14"/>
    </sheetView>
  </sheetViews>
  <sheetFormatPr defaultRowHeight="15" x14ac:dyDescent="0.25"/>
  <cols>
    <col min="1" max="1" width="43.85546875" customWidth="1"/>
    <col min="2" max="2" width="16.28515625" customWidth="1"/>
    <col min="3" max="4" width="14.7109375" customWidth="1"/>
    <col min="5" max="5" width="11.42578125" customWidth="1"/>
    <col min="6" max="6" width="14" customWidth="1"/>
    <col min="7" max="7" width="13.85546875" customWidth="1"/>
    <col min="8" max="8" width="13.7109375" customWidth="1"/>
    <col min="9" max="9" width="13.42578125" customWidth="1"/>
    <col min="10" max="14" width="12.85546875" customWidth="1"/>
    <col min="16" max="16" width="21.7109375" customWidth="1"/>
    <col min="17" max="17" width="16.7109375" customWidth="1"/>
    <col min="18" max="18" width="11.5703125" customWidth="1"/>
  </cols>
  <sheetData>
    <row r="3" spans="1:37" x14ac:dyDescent="0.25">
      <c r="B3" t="s">
        <v>35</v>
      </c>
    </row>
    <row r="5" spans="1:37" x14ac:dyDescent="0.25">
      <c r="A5" s="13" t="s">
        <v>0</v>
      </c>
      <c r="B5" s="1"/>
    </row>
    <row r="6" spans="1:37" x14ac:dyDescent="0.25">
      <c r="A6" s="13" t="s">
        <v>2</v>
      </c>
      <c r="B6" s="1"/>
    </row>
    <row r="7" spans="1:37" x14ac:dyDescent="0.25">
      <c r="A7" s="13" t="s">
        <v>3</v>
      </c>
      <c r="B7" s="1"/>
    </row>
    <row r="8" spans="1:37" x14ac:dyDescent="0.25">
      <c r="A8" s="1"/>
      <c r="B8" s="9" t="s">
        <v>65</v>
      </c>
      <c r="C8" s="9" t="s">
        <v>65</v>
      </c>
      <c r="D8" s="9" t="s">
        <v>65</v>
      </c>
      <c r="E8" s="9" t="s">
        <v>65</v>
      </c>
      <c r="F8" s="9" t="s">
        <v>51</v>
      </c>
      <c r="G8" s="9"/>
      <c r="H8" s="9"/>
      <c r="I8" s="9"/>
      <c r="J8" s="9" t="s">
        <v>51</v>
      </c>
      <c r="K8" s="9"/>
      <c r="L8" s="9"/>
      <c r="M8" s="9"/>
      <c r="N8" s="9" t="s">
        <v>65</v>
      </c>
      <c r="P8" s="28" t="s">
        <v>26</v>
      </c>
      <c r="Q8" t="s">
        <v>69</v>
      </c>
      <c r="R8" t="s">
        <v>70</v>
      </c>
    </row>
    <row r="9" spans="1:37" x14ac:dyDescent="0.25">
      <c r="A9" s="28" t="s">
        <v>1</v>
      </c>
      <c r="B9" s="12" t="s">
        <v>36</v>
      </c>
      <c r="C9" s="12" t="s">
        <v>37</v>
      </c>
      <c r="D9" s="12" t="s">
        <v>38</v>
      </c>
      <c r="E9" s="10" t="s">
        <v>33</v>
      </c>
      <c r="F9" s="12" t="s">
        <v>36</v>
      </c>
      <c r="G9" s="12" t="s">
        <v>37</v>
      </c>
      <c r="H9" s="12" t="s">
        <v>38</v>
      </c>
      <c r="I9" s="10" t="s">
        <v>33</v>
      </c>
      <c r="J9" s="12" t="s">
        <v>36</v>
      </c>
      <c r="K9" s="12"/>
      <c r="L9" s="12"/>
      <c r="M9" s="12"/>
      <c r="N9" s="12" t="s">
        <v>36</v>
      </c>
      <c r="P9" s="28" t="s">
        <v>28</v>
      </c>
      <c r="Q9" s="28" t="s">
        <v>27</v>
      </c>
    </row>
    <row r="10" spans="1:37" x14ac:dyDescent="0.25">
      <c r="A10" s="28" t="s">
        <v>1</v>
      </c>
      <c r="B10" s="11" t="s">
        <v>34</v>
      </c>
      <c r="C10" s="11" t="s">
        <v>34</v>
      </c>
      <c r="D10" s="11" t="s">
        <v>34</v>
      </c>
      <c r="E10" s="11" t="s">
        <v>34</v>
      </c>
      <c r="F10" s="11" t="s">
        <v>39</v>
      </c>
      <c r="G10" s="11" t="s">
        <v>39</v>
      </c>
      <c r="H10" s="11" t="s">
        <v>39</v>
      </c>
      <c r="I10" s="11" t="s">
        <v>39</v>
      </c>
      <c r="J10" s="11">
        <v>2017</v>
      </c>
      <c r="K10" s="27"/>
      <c r="L10" s="27"/>
      <c r="M10" s="27"/>
      <c r="N10" s="11" t="s">
        <v>39</v>
      </c>
      <c r="P10" s="28">
        <v>2015</v>
      </c>
      <c r="Q10" s="28">
        <v>2016</v>
      </c>
    </row>
    <row r="11" spans="1:37" x14ac:dyDescent="0.25">
      <c r="A11" s="28" t="s">
        <v>4</v>
      </c>
      <c r="B11" s="24">
        <v>66829</v>
      </c>
      <c r="C11" s="24">
        <v>75362</v>
      </c>
      <c r="D11" s="24">
        <v>73910</v>
      </c>
      <c r="E11" s="25">
        <f>+P11-B11-C11-D11</f>
        <v>70961</v>
      </c>
      <c r="F11" s="24">
        <f>+'Assumptions copy'!G18</f>
        <v>79936.107096774198</v>
      </c>
      <c r="G11" s="24">
        <f>+'Assumptions copy'!H18</f>
        <v>83266.778225806469</v>
      </c>
      <c r="H11" s="24">
        <f>+'Assumptions copy'!I18</f>
        <v>86597.449354838725</v>
      </c>
      <c r="I11" s="24">
        <f>+'Assumptions copy'!J18</f>
        <v>89928.120483870982</v>
      </c>
      <c r="J11" s="24">
        <f>+'Assumptions copy'!K18</f>
        <v>93991.539261290323</v>
      </c>
      <c r="K11" s="24"/>
      <c r="L11" s="24"/>
      <c r="M11" s="24"/>
      <c r="N11" s="24">
        <f>+'IS by Qtr'!F11</f>
        <v>78054</v>
      </c>
      <c r="O11" s="25"/>
      <c r="P11" s="24">
        <v>287062</v>
      </c>
      <c r="Q11" s="24">
        <f>SUM(F11:I11)</f>
        <v>339728.45516129036</v>
      </c>
      <c r="R11" s="24">
        <v>330613</v>
      </c>
      <c r="S11" s="25"/>
      <c r="T11" s="25"/>
      <c r="U11" s="25"/>
      <c r="V11" s="25"/>
      <c r="W11" s="25"/>
      <c r="X11" s="25"/>
      <c r="Y11" s="26"/>
      <c r="Z11" s="26"/>
      <c r="AA11" s="26"/>
      <c r="AB11" s="26"/>
      <c r="AC11" s="26"/>
      <c r="AD11" s="26"/>
      <c r="AE11" s="26"/>
      <c r="AF11" s="26"/>
      <c r="AG11" s="7"/>
      <c r="AH11" s="7"/>
      <c r="AI11" s="7"/>
      <c r="AJ11" s="7"/>
      <c r="AK11" s="7"/>
    </row>
    <row r="12" spans="1:37" x14ac:dyDescent="0.25">
      <c r="A12" s="28" t="s">
        <v>5</v>
      </c>
      <c r="B12" s="25"/>
      <c r="C12" s="25"/>
      <c r="D12" s="25"/>
      <c r="E12" s="25"/>
      <c r="F12" s="25"/>
      <c r="G12" s="25"/>
      <c r="H12" s="25"/>
      <c r="I12" s="25"/>
      <c r="J12" s="25"/>
      <c r="K12" s="25"/>
      <c r="L12" s="25"/>
      <c r="M12" s="25"/>
      <c r="N12" s="24">
        <f>+'IS by Qtr'!F12</f>
        <v>0</v>
      </c>
      <c r="O12" s="25"/>
      <c r="P12" s="25"/>
      <c r="Q12" s="25"/>
      <c r="R12" s="25"/>
      <c r="S12" s="25"/>
      <c r="T12" s="25"/>
      <c r="U12" s="25"/>
      <c r="V12" s="25"/>
      <c r="W12" s="25"/>
      <c r="X12" s="25"/>
      <c r="Y12" s="26"/>
      <c r="Z12" s="26"/>
      <c r="AA12" s="26"/>
      <c r="AB12" s="26"/>
      <c r="AC12" s="26"/>
      <c r="AD12" s="26"/>
      <c r="AE12" s="26"/>
      <c r="AF12" s="26"/>
      <c r="AG12" s="7"/>
      <c r="AH12" s="7"/>
      <c r="AI12" s="7"/>
      <c r="AJ12" s="7"/>
      <c r="AK12" s="7"/>
    </row>
    <row r="13" spans="1:37" x14ac:dyDescent="0.25">
      <c r="A13" s="28" t="s">
        <v>6</v>
      </c>
      <c r="B13" s="24">
        <v>17544</v>
      </c>
      <c r="C13" s="24">
        <v>19802</v>
      </c>
      <c r="D13" s="24">
        <v>19674</v>
      </c>
      <c r="E13" s="25">
        <f t="shared" ref="E13:E26" si="0">+P13-B13-C13-D13</f>
        <v>18666</v>
      </c>
      <c r="F13" s="24">
        <f>+'Assumptions copy'!G21</f>
        <v>21023.196166451617</v>
      </c>
      <c r="G13" s="24">
        <f>+'Assumptions copy'!H21</f>
        <v>21899.162673387102</v>
      </c>
      <c r="H13" s="24">
        <f>+'Assumptions copy'!I21</f>
        <v>22775.129180322587</v>
      </c>
      <c r="I13" s="24">
        <f>+'Assumptions copy'!J21</f>
        <v>23651.095687258068</v>
      </c>
      <c r="J13" s="24">
        <f>+'Assumptions copy'!K21</f>
        <v>24719.774825719356</v>
      </c>
      <c r="K13" s="24"/>
      <c r="L13" s="24"/>
      <c r="M13" s="24"/>
      <c r="N13" s="24">
        <f>+'IS by Qtr'!F13</f>
        <v>19998</v>
      </c>
      <c r="O13" s="25"/>
      <c r="P13" s="24">
        <v>75686</v>
      </c>
      <c r="Q13" s="24">
        <f t="shared" ref="Q13:Q27" si="1">SUM(F13:I13)</f>
        <v>89348.583707419384</v>
      </c>
      <c r="R13" s="24">
        <v>85542</v>
      </c>
      <c r="S13" s="25"/>
      <c r="T13" s="25"/>
      <c r="U13" s="25"/>
      <c r="V13" s="25"/>
      <c r="W13" s="25"/>
      <c r="X13" s="25"/>
      <c r="Y13" s="26"/>
      <c r="Z13" s="26"/>
      <c r="AA13" s="26"/>
      <c r="AB13" s="26"/>
      <c r="AC13" s="26"/>
      <c r="AD13" s="26"/>
      <c r="AE13" s="26"/>
      <c r="AF13" s="26"/>
      <c r="AG13" s="7"/>
      <c r="AH13" s="7"/>
      <c r="AI13" s="7"/>
      <c r="AJ13" s="7"/>
      <c r="AK13" s="7"/>
    </row>
    <row r="14" spans="1:37" x14ac:dyDescent="0.25">
      <c r="A14" s="28" t="s">
        <v>7</v>
      </c>
      <c r="B14" s="24">
        <v>22146</v>
      </c>
      <c r="C14" s="24">
        <v>24127</v>
      </c>
      <c r="D14" s="24">
        <v>23641</v>
      </c>
      <c r="E14" s="25">
        <f t="shared" si="0"/>
        <v>23711</v>
      </c>
      <c r="F14" s="24">
        <f>+'Assumptions copy'!G24</f>
        <v>26378.915341935488</v>
      </c>
      <c r="G14" s="24">
        <f>+'Assumptions copy'!H24</f>
        <v>27977.637483870974</v>
      </c>
      <c r="H14" s="24">
        <f>+'Assumptions copy'!I24</f>
        <v>29096.742983225813</v>
      </c>
      <c r="I14" s="24">
        <f>+'Assumptions copy'!J24</f>
        <v>30215.848482580652</v>
      </c>
      <c r="J14" s="24">
        <f>+'Assumptions copy'!K24</f>
        <v>31957.123348838712</v>
      </c>
      <c r="K14" s="24"/>
      <c r="L14" s="24"/>
      <c r="M14" s="24"/>
      <c r="N14" s="24">
        <f>+'IS by Qtr'!F14</f>
        <v>25680</v>
      </c>
      <c r="O14" s="25"/>
      <c r="P14" s="24">
        <v>93625</v>
      </c>
      <c r="Q14" s="24">
        <f t="shared" si="1"/>
        <v>113669.14429161293</v>
      </c>
      <c r="R14" s="24">
        <v>110730</v>
      </c>
      <c r="S14" s="25"/>
      <c r="T14" s="25"/>
      <c r="U14" s="25"/>
      <c r="V14" s="25"/>
      <c r="W14" s="25"/>
      <c r="X14" s="25"/>
      <c r="Y14" s="26"/>
      <c r="Z14" s="26"/>
      <c r="AA14" s="26"/>
      <c r="AB14" s="26"/>
      <c r="AC14" s="26"/>
      <c r="AD14" s="26"/>
      <c r="AE14" s="26"/>
      <c r="AF14" s="26"/>
      <c r="AG14" s="7"/>
      <c r="AH14" s="7"/>
      <c r="AI14" s="7"/>
      <c r="AJ14" s="7"/>
      <c r="AK14" s="7"/>
    </row>
    <row r="15" spans="1:37" x14ac:dyDescent="0.25">
      <c r="A15" s="28" t="s">
        <v>8</v>
      </c>
      <c r="B15" s="24">
        <v>9331</v>
      </c>
      <c r="C15" s="24">
        <v>10168</v>
      </c>
      <c r="D15" s="24">
        <v>10235</v>
      </c>
      <c r="E15" s="25">
        <f t="shared" si="0"/>
        <v>10220</v>
      </c>
      <c r="F15" s="24">
        <f>+'Assumptions copy'!G27</f>
        <v>11191.054993548389</v>
      </c>
      <c r="G15" s="24">
        <f>+'Assumptions copy'!H27</f>
        <v>11823.882508064518</v>
      </c>
      <c r="H15" s="24">
        <f>+'Assumptions copy'!I27</f>
        <v>12296.837808387098</v>
      </c>
      <c r="I15" s="24">
        <f>+'Assumptions copy'!J27</f>
        <v>12769.793108709679</v>
      </c>
      <c r="J15" s="24">
        <f>+'Assumptions copy'!K27</f>
        <v>13346.798575103225</v>
      </c>
      <c r="K15" s="24"/>
      <c r="L15" s="24"/>
      <c r="M15" s="24"/>
      <c r="N15" s="24">
        <f>+'IS by Qtr'!F15</f>
        <v>10556</v>
      </c>
      <c r="O15" s="25"/>
      <c r="P15" s="24">
        <v>39954</v>
      </c>
      <c r="Q15" s="24">
        <f t="shared" si="1"/>
        <v>48081.568418709685</v>
      </c>
      <c r="R15" s="24">
        <v>45900</v>
      </c>
      <c r="S15" s="25"/>
      <c r="T15" s="25"/>
      <c r="U15" s="25"/>
      <c r="V15" s="25"/>
      <c r="W15" s="25"/>
      <c r="X15" s="25"/>
      <c r="Y15" s="26"/>
      <c r="Z15" s="26"/>
      <c r="AA15" s="26"/>
      <c r="AB15" s="26"/>
      <c r="AC15" s="26"/>
      <c r="AD15" s="26"/>
      <c r="AE15" s="26"/>
      <c r="AF15" s="26"/>
      <c r="AG15" s="7"/>
      <c r="AH15" s="7"/>
      <c r="AI15" s="7"/>
      <c r="AJ15" s="7"/>
      <c r="AK15" s="7"/>
    </row>
    <row r="16" spans="1:37" x14ac:dyDescent="0.25">
      <c r="A16" s="28" t="s">
        <v>9</v>
      </c>
      <c r="B16" s="24">
        <v>4480</v>
      </c>
      <c r="C16" s="24">
        <v>4867</v>
      </c>
      <c r="D16" s="24">
        <v>4802</v>
      </c>
      <c r="E16" s="25">
        <f t="shared" si="0"/>
        <v>4870</v>
      </c>
      <c r="F16" s="24">
        <f>+'Assumptions copy'!G30</f>
        <v>5256</v>
      </c>
      <c r="G16" s="24">
        <f>+'Assumptions copy'!H30</f>
        <v>5550</v>
      </c>
      <c r="H16" s="24">
        <f>+'Assumptions copy'!I30</f>
        <v>5772</v>
      </c>
      <c r="I16" s="24">
        <f>+'Assumptions copy'!J30</f>
        <v>5994</v>
      </c>
      <c r="J16" s="24">
        <f>+'Assumptions copy'!K30</f>
        <v>6142</v>
      </c>
      <c r="K16" s="24"/>
      <c r="L16" s="24"/>
      <c r="M16" s="24"/>
      <c r="N16" s="24">
        <f>+'IS by Qtr'!F16</f>
        <v>5305</v>
      </c>
      <c r="O16" s="25"/>
      <c r="P16" s="24">
        <v>19019</v>
      </c>
      <c r="Q16" s="24">
        <f t="shared" si="1"/>
        <v>22572</v>
      </c>
      <c r="R16" s="24">
        <v>22204</v>
      </c>
      <c r="S16" s="25"/>
      <c r="T16" s="25"/>
      <c r="U16" s="25"/>
      <c r="V16" s="25"/>
      <c r="W16" s="25"/>
      <c r="X16" s="25"/>
      <c r="Y16" s="26"/>
      <c r="Z16" s="26"/>
      <c r="AA16" s="26"/>
      <c r="AB16" s="26"/>
      <c r="AC16" s="26"/>
      <c r="AD16" s="26"/>
      <c r="AE16" s="26"/>
      <c r="AF16" s="26"/>
      <c r="AG16" s="7"/>
      <c r="AH16" s="7"/>
      <c r="AI16" s="7"/>
      <c r="AJ16" s="7"/>
      <c r="AK16" s="7"/>
    </row>
    <row r="17" spans="1:37" x14ac:dyDescent="0.25">
      <c r="A17" s="28" t="s">
        <v>10</v>
      </c>
      <c r="B17" s="24">
        <v>4084</v>
      </c>
      <c r="C17" s="24">
        <v>4299</v>
      </c>
      <c r="D17" s="24">
        <v>4073</v>
      </c>
      <c r="E17" s="25">
        <f t="shared" si="0"/>
        <v>3720</v>
      </c>
      <c r="F17" s="24">
        <f>+'Assumptions copy'!G33</f>
        <v>4396.4858903225813</v>
      </c>
      <c r="G17" s="24">
        <f>+'Assumptions copy'!H33</f>
        <v>4579.6728024193562</v>
      </c>
      <c r="H17" s="24">
        <f>+'Assumptions copy'!I33</f>
        <v>4762.8597145161302</v>
      </c>
      <c r="I17" s="24">
        <f>+'Assumptions copy'!J33</f>
        <v>4946.0466266129042</v>
      </c>
      <c r="J17" s="24">
        <f>+'Assumptions copy'!K33</f>
        <v>5263.5261986322585</v>
      </c>
      <c r="K17" s="24"/>
      <c r="L17" s="24"/>
      <c r="M17" s="24"/>
      <c r="N17" s="24">
        <f>+'IS by Qtr'!F17</f>
        <v>4533</v>
      </c>
      <c r="O17" s="25"/>
      <c r="P17" s="24">
        <v>16176</v>
      </c>
      <c r="Q17" s="24">
        <f t="shared" si="1"/>
        <v>18685.065033870971</v>
      </c>
      <c r="R17" s="24">
        <v>17560</v>
      </c>
      <c r="S17" s="25"/>
      <c r="T17" s="25"/>
      <c r="U17" s="25"/>
      <c r="V17" s="25"/>
      <c r="W17" s="25"/>
      <c r="X17" s="25"/>
      <c r="Y17" s="26"/>
      <c r="Z17" s="26"/>
      <c r="AA17" s="26"/>
      <c r="AB17" s="26"/>
      <c r="AC17" s="26"/>
      <c r="AD17" s="26"/>
      <c r="AE17" s="26"/>
      <c r="AF17" s="26"/>
      <c r="AG17" s="7"/>
      <c r="AH17" s="7"/>
      <c r="AI17" s="7"/>
      <c r="AJ17" s="7"/>
      <c r="AK17" s="7"/>
    </row>
    <row r="18" spans="1:37" x14ac:dyDescent="0.25">
      <c r="A18" s="28" t="s">
        <v>11</v>
      </c>
      <c r="B18" s="24">
        <v>535</v>
      </c>
      <c r="C18" s="24">
        <v>609</v>
      </c>
      <c r="D18" s="24">
        <v>576</v>
      </c>
      <c r="E18" s="25">
        <f t="shared" si="0"/>
        <v>529</v>
      </c>
      <c r="F18" s="24">
        <f>+'Assumptions copy'!G37</f>
        <v>559.55274967741934</v>
      </c>
      <c r="G18" s="24">
        <f>+'Assumptions copy'!H37</f>
        <v>582.86744758064526</v>
      </c>
      <c r="H18" s="24">
        <f>+'Assumptions copy'!I37</f>
        <v>606.18214548387107</v>
      </c>
      <c r="I18" s="24">
        <f>+'Assumptions copy'!J37</f>
        <v>629.49684338709687</v>
      </c>
      <c r="J18" s="24">
        <f>+'Assumptions copy'!K37</f>
        <v>563.94923556774199</v>
      </c>
      <c r="K18" s="24"/>
      <c r="L18" s="24"/>
      <c r="M18" s="24"/>
      <c r="N18" s="24">
        <f>+'IS by Qtr'!F18</f>
        <v>583</v>
      </c>
      <c r="O18" s="25"/>
      <c r="P18" s="24">
        <v>2249</v>
      </c>
      <c r="Q18" s="24">
        <f t="shared" si="1"/>
        <v>2378.0991861290322</v>
      </c>
      <c r="R18" s="24">
        <v>2390</v>
      </c>
      <c r="S18" s="25"/>
      <c r="T18" s="25"/>
      <c r="U18" s="25"/>
      <c r="V18" s="25"/>
      <c r="W18" s="25"/>
      <c r="X18" s="25"/>
      <c r="Y18" s="26"/>
      <c r="Z18" s="26"/>
      <c r="AA18" s="26"/>
      <c r="AB18" s="26"/>
      <c r="AC18" s="26"/>
      <c r="AD18" s="26"/>
      <c r="AE18" s="26"/>
      <c r="AF18" s="26"/>
      <c r="AG18" s="7"/>
      <c r="AH18" s="7"/>
      <c r="AI18" s="7"/>
      <c r="AJ18" s="7"/>
      <c r="AK18" s="7"/>
    </row>
    <row r="19" spans="1:37" x14ac:dyDescent="0.25">
      <c r="A19" s="28" t="s">
        <v>12</v>
      </c>
      <c r="B19" s="24">
        <v>1108</v>
      </c>
      <c r="C19" s="24">
        <v>699</v>
      </c>
      <c r="D19" s="24">
        <v>1067</v>
      </c>
      <c r="E19" s="25">
        <f t="shared" si="0"/>
        <v>1543</v>
      </c>
      <c r="F19" s="24">
        <f>+'Assumptions copy'!G40</f>
        <v>1200</v>
      </c>
      <c r="G19" s="24">
        <f>+'Assumptions copy'!H40</f>
        <v>1500</v>
      </c>
      <c r="H19" s="24">
        <f>+'Assumptions copy'!I40</f>
        <v>1500</v>
      </c>
      <c r="I19" s="24">
        <f>+'Assumptions copy'!J40</f>
        <v>1500</v>
      </c>
      <c r="J19" s="24">
        <f>+'Assumptions copy'!K40</f>
        <v>1000</v>
      </c>
      <c r="K19" s="24"/>
      <c r="L19" s="24"/>
      <c r="M19" s="24"/>
      <c r="N19" s="24">
        <f>+'IS by Qtr'!F19</f>
        <v>1433</v>
      </c>
      <c r="O19" s="25"/>
      <c r="P19" s="24">
        <v>4417</v>
      </c>
      <c r="Q19" s="24">
        <f t="shared" si="1"/>
        <v>5700</v>
      </c>
      <c r="R19" s="24">
        <v>5348</v>
      </c>
      <c r="S19" s="25"/>
      <c r="T19" s="25"/>
      <c r="U19" s="25"/>
      <c r="V19" s="25"/>
      <c r="W19" s="25"/>
      <c r="X19" s="25"/>
      <c r="Y19" s="26"/>
      <c r="Z19" s="26"/>
      <c r="AA19" s="26"/>
      <c r="AB19" s="26"/>
      <c r="AC19" s="26"/>
      <c r="AD19" s="26"/>
      <c r="AE19" s="26"/>
      <c r="AF19" s="26"/>
      <c r="AG19" s="7"/>
      <c r="AH19" s="7"/>
      <c r="AI19" s="7"/>
      <c r="AJ19" s="7"/>
      <c r="AK19" s="7"/>
    </row>
    <row r="20" spans="1:37" x14ac:dyDescent="0.25">
      <c r="A20" s="28" t="s">
        <v>31</v>
      </c>
      <c r="B20" s="24"/>
      <c r="C20" s="24"/>
      <c r="D20" s="24">
        <v>0</v>
      </c>
      <c r="E20" s="25">
        <f t="shared" si="0"/>
        <v>4360</v>
      </c>
      <c r="F20" s="24">
        <f>+'Assumptions copy'!G43</f>
        <v>0</v>
      </c>
      <c r="G20" s="24">
        <f>+'Assumptions copy'!H43</f>
        <v>0</v>
      </c>
      <c r="H20" s="24">
        <f>+'Assumptions copy'!I43</f>
        <v>0</v>
      </c>
      <c r="I20" s="24">
        <f>+'Assumptions copy'!J43</f>
        <v>1000</v>
      </c>
      <c r="J20" s="24">
        <f>+'Assumptions copy'!K43</f>
        <v>0</v>
      </c>
      <c r="K20" s="24"/>
      <c r="L20" s="24"/>
      <c r="M20" s="24"/>
      <c r="N20" s="24">
        <f>+'IS by Qtr'!F20</f>
        <v>0</v>
      </c>
      <c r="O20" s="25"/>
      <c r="P20" s="24">
        <v>4360</v>
      </c>
      <c r="Q20" s="24">
        <f t="shared" si="1"/>
        <v>1000</v>
      </c>
      <c r="R20" s="24">
        <v>1517</v>
      </c>
      <c r="S20" s="25"/>
      <c r="T20" s="25"/>
      <c r="U20" s="25"/>
      <c r="V20" s="25"/>
      <c r="W20" s="25"/>
      <c r="X20" s="25"/>
      <c r="Y20" s="26"/>
      <c r="Z20" s="26"/>
      <c r="AA20" s="26"/>
      <c r="AB20" s="26"/>
      <c r="AC20" s="26"/>
      <c r="AD20" s="26"/>
      <c r="AE20" s="26"/>
      <c r="AF20" s="26"/>
      <c r="AG20" s="7"/>
      <c r="AH20" s="7"/>
      <c r="AI20" s="7"/>
      <c r="AJ20" s="7"/>
      <c r="AK20" s="7"/>
    </row>
    <row r="21" spans="1:37" x14ac:dyDescent="0.25">
      <c r="A21" s="28" t="s">
        <v>13</v>
      </c>
      <c r="B21" s="24">
        <v>2998</v>
      </c>
      <c r="C21" s="24">
        <v>3194</v>
      </c>
      <c r="D21" s="24">
        <v>3230</v>
      </c>
      <c r="E21" s="25">
        <f t="shared" si="0"/>
        <v>3405</v>
      </c>
      <c r="F21" s="24">
        <f>+'Assumptions copy'!G46</f>
        <v>3600</v>
      </c>
      <c r="G21" s="24">
        <f>+'Assumptions copy'!H46</f>
        <v>3825</v>
      </c>
      <c r="H21" s="24">
        <f>+'Assumptions copy'!I46</f>
        <v>3978</v>
      </c>
      <c r="I21" s="24">
        <f>+'Assumptions copy'!J46</f>
        <v>4131</v>
      </c>
      <c r="J21" s="24">
        <f>+'Assumptions copy'!K46</f>
        <v>4233</v>
      </c>
      <c r="K21" s="24"/>
      <c r="L21" s="24"/>
      <c r="M21" s="24"/>
      <c r="N21" s="24">
        <f>+'IS by Qtr'!F21</f>
        <v>3477</v>
      </c>
      <c r="O21" s="25"/>
      <c r="P21" s="24">
        <v>12827</v>
      </c>
      <c r="Q21" s="24">
        <f t="shared" si="1"/>
        <v>15534</v>
      </c>
      <c r="R21" s="24">
        <v>15081</v>
      </c>
      <c r="S21" s="25"/>
      <c r="T21" s="25"/>
      <c r="U21" s="25"/>
      <c r="V21" s="25"/>
      <c r="W21" s="25"/>
      <c r="X21" s="25"/>
      <c r="Y21" s="26"/>
      <c r="Z21" s="26"/>
      <c r="AA21" s="26"/>
      <c r="AB21" s="26"/>
      <c r="AC21" s="26"/>
      <c r="AD21" s="26"/>
      <c r="AE21" s="26"/>
      <c r="AF21" s="26"/>
      <c r="AG21" s="7"/>
      <c r="AH21" s="7"/>
      <c r="AI21" s="7"/>
      <c r="AJ21" s="7"/>
      <c r="AK21" s="7"/>
    </row>
    <row r="22" spans="1:37" x14ac:dyDescent="0.25">
      <c r="A22" s="28" t="s">
        <v>14</v>
      </c>
      <c r="B22" s="24">
        <v>62226</v>
      </c>
      <c r="C22" s="24">
        <v>67765</v>
      </c>
      <c r="D22" s="24">
        <v>67298</v>
      </c>
      <c r="E22" s="25">
        <f t="shared" si="0"/>
        <v>71024</v>
      </c>
      <c r="F22" s="24">
        <f t="shared" ref="F22:I22" si="2">SUM(F13:F21)</f>
        <v>73605.205141935483</v>
      </c>
      <c r="G22" s="24">
        <f t="shared" si="2"/>
        <v>77738.222915322593</v>
      </c>
      <c r="H22" s="24">
        <f t="shared" si="2"/>
        <v>80787.751831935486</v>
      </c>
      <c r="I22" s="24">
        <f t="shared" si="2"/>
        <v>84837.280748548408</v>
      </c>
      <c r="J22" s="24">
        <f>SUM(J13:J21)</f>
        <v>87226.172183861287</v>
      </c>
      <c r="K22" s="24"/>
      <c r="L22" s="24"/>
      <c r="M22" s="24"/>
      <c r="N22" s="24">
        <f>+'IS by Qtr'!F22</f>
        <v>71565</v>
      </c>
      <c r="O22" s="25"/>
      <c r="P22" s="24">
        <v>268313</v>
      </c>
      <c r="Q22" s="24">
        <f t="shared" si="1"/>
        <v>316968.46063774195</v>
      </c>
      <c r="R22" s="24">
        <v>306272</v>
      </c>
      <c r="S22" s="25"/>
      <c r="T22" s="25"/>
      <c r="U22" s="25"/>
      <c r="V22" s="25"/>
      <c r="W22" s="25"/>
      <c r="X22" s="25"/>
      <c r="Y22" s="26"/>
      <c r="Z22" s="26"/>
      <c r="AA22" s="26"/>
      <c r="AB22" s="26"/>
      <c r="AC22" s="26"/>
      <c r="AD22" s="26"/>
      <c r="AE22" s="26"/>
      <c r="AF22" s="26"/>
      <c r="AG22" s="7"/>
      <c r="AH22" s="7"/>
      <c r="AI22" s="7"/>
      <c r="AJ22" s="7"/>
      <c r="AK22" s="7"/>
    </row>
    <row r="23" spans="1:37" x14ac:dyDescent="0.25">
      <c r="A23" s="28" t="s">
        <v>15</v>
      </c>
      <c r="B23" s="24">
        <v>4603</v>
      </c>
      <c r="C23" s="24">
        <v>7597</v>
      </c>
      <c r="D23" s="24">
        <v>6612</v>
      </c>
      <c r="E23" s="25">
        <f t="shared" si="0"/>
        <v>-63</v>
      </c>
      <c r="F23" s="24">
        <f t="shared" ref="F23:I23" si="3">+F11-F22</f>
        <v>6330.901954838715</v>
      </c>
      <c r="G23" s="24">
        <f t="shared" si="3"/>
        <v>5528.5553104838764</v>
      </c>
      <c r="H23" s="24">
        <f t="shared" si="3"/>
        <v>5809.6975229032396</v>
      </c>
      <c r="I23" s="24">
        <f t="shared" si="3"/>
        <v>5090.8397353225737</v>
      </c>
      <c r="J23" s="24">
        <f>+J11-J22</f>
        <v>6765.3670774290367</v>
      </c>
      <c r="K23" s="24"/>
      <c r="L23" s="24"/>
      <c r="M23" s="24"/>
      <c r="N23" s="24">
        <f>+'IS by Qtr'!F23</f>
        <v>6489</v>
      </c>
      <c r="O23" s="25"/>
      <c r="P23" s="24">
        <v>18749</v>
      </c>
      <c r="Q23" s="24">
        <f t="shared" si="1"/>
        <v>22759.994523548405</v>
      </c>
      <c r="R23" s="24">
        <v>24341</v>
      </c>
      <c r="S23" s="25"/>
      <c r="T23" s="25"/>
      <c r="U23" s="25"/>
      <c r="V23" s="25"/>
      <c r="W23" s="25"/>
      <c r="X23" s="25"/>
      <c r="Y23" s="26"/>
      <c r="Z23" s="26"/>
      <c r="AA23" s="26"/>
      <c r="AB23" s="26"/>
      <c r="AC23" s="26"/>
      <c r="AD23" s="26"/>
      <c r="AE23" s="26"/>
      <c r="AF23" s="26"/>
      <c r="AG23" s="7"/>
      <c r="AH23" s="7"/>
      <c r="AI23" s="7"/>
      <c r="AJ23" s="7"/>
      <c r="AK23" s="7"/>
    </row>
    <row r="24" spans="1:37" x14ac:dyDescent="0.25">
      <c r="A24" s="28" t="s">
        <v>16</v>
      </c>
      <c r="B24" s="24">
        <v>47</v>
      </c>
      <c r="C24" s="24">
        <v>30</v>
      </c>
      <c r="D24" s="24">
        <v>16</v>
      </c>
      <c r="E24" s="25">
        <f t="shared" si="0"/>
        <v>17</v>
      </c>
      <c r="F24" s="24">
        <v>15</v>
      </c>
      <c r="G24" s="24">
        <v>15</v>
      </c>
      <c r="H24" s="24">
        <v>15</v>
      </c>
      <c r="I24" s="24">
        <v>15</v>
      </c>
      <c r="J24" s="24">
        <v>15</v>
      </c>
      <c r="K24" s="24"/>
      <c r="L24" s="24"/>
      <c r="M24" s="24"/>
      <c r="N24" s="24">
        <f>+'IS by Qtr'!F25</f>
        <v>15</v>
      </c>
      <c r="O24" s="25"/>
      <c r="P24" s="24">
        <v>110</v>
      </c>
      <c r="Q24" s="24">
        <f t="shared" si="1"/>
        <v>60</v>
      </c>
      <c r="R24" s="24">
        <v>63</v>
      </c>
      <c r="S24" s="25"/>
      <c r="T24" s="25"/>
      <c r="U24" s="25"/>
      <c r="V24" s="25"/>
      <c r="W24" s="25"/>
      <c r="X24" s="25"/>
      <c r="Y24" s="26"/>
      <c r="Z24" s="26"/>
      <c r="AA24" s="26"/>
      <c r="AB24" s="26"/>
      <c r="AC24" s="26"/>
      <c r="AD24" s="26"/>
      <c r="AE24" s="26"/>
      <c r="AF24" s="26"/>
      <c r="AG24" s="7"/>
      <c r="AH24" s="7"/>
      <c r="AI24" s="7"/>
      <c r="AJ24" s="7"/>
      <c r="AK24" s="7"/>
    </row>
    <row r="25" spans="1:37" x14ac:dyDescent="0.25">
      <c r="A25" s="28" t="s">
        <v>17</v>
      </c>
      <c r="B25" s="24">
        <v>4556</v>
      </c>
      <c r="C25" s="24">
        <v>7567</v>
      </c>
      <c r="D25" s="24">
        <v>6596</v>
      </c>
      <c r="E25" s="25">
        <f t="shared" si="0"/>
        <v>-80</v>
      </c>
      <c r="F25" s="24">
        <f t="shared" ref="F25:I25" si="4">+F23-F24</f>
        <v>6315.901954838715</v>
      </c>
      <c r="G25" s="24">
        <f t="shared" si="4"/>
        <v>5513.5553104838764</v>
      </c>
      <c r="H25" s="24">
        <f t="shared" si="4"/>
        <v>5794.6975229032396</v>
      </c>
      <c r="I25" s="24">
        <f t="shared" si="4"/>
        <v>5075.8397353225737</v>
      </c>
      <c r="J25" s="24">
        <f>+J23-J24</f>
        <v>6750.3670774290367</v>
      </c>
      <c r="K25" s="24"/>
      <c r="L25" s="24"/>
      <c r="M25" s="24"/>
      <c r="N25" s="24">
        <f>+'IS by Qtr'!F26</f>
        <v>6474</v>
      </c>
      <c r="O25" s="25"/>
      <c r="P25" s="24">
        <v>18639</v>
      </c>
      <c r="Q25" s="24">
        <f t="shared" si="1"/>
        <v>22699.994523548405</v>
      </c>
      <c r="R25" s="24">
        <v>24278</v>
      </c>
      <c r="S25" s="25"/>
      <c r="T25" s="25"/>
      <c r="U25" s="25"/>
      <c r="V25" s="25"/>
      <c r="W25" s="25"/>
      <c r="X25" s="25"/>
      <c r="Y25" s="26"/>
      <c r="Z25" s="26"/>
      <c r="AA25" s="26"/>
      <c r="AB25" s="26"/>
      <c r="AC25" s="26"/>
      <c r="AD25" s="26"/>
      <c r="AE25" s="26"/>
      <c r="AF25" s="26"/>
      <c r="AG25" s="7"/>
      <c r="AH25" s="7"/>
      <c r="AI25" s="7"/>
      <c r="AJ25" s="7"/>
      <c r="AK25" s="7"/>
    </row>
    <row r="26" spans="1:37" x14ac:dyDescent="0.25">
      <c r="A26" s="28" t="s">
        <v>18</v>
      </c>
      <c r="B26" s="24">
        <v>1321</v>
      </c>
      <c r="C26" s="24">
        <v>2194</v>
      </c>
      <c r="D26" s="24">
        <v>2527</v>
      </c>
      <c r="E26" s="25">
        <f t="shared" si="0"/>
        <v>-299</v>
      </c>
      <c r="F26" s="24">
        <f t="shared" ref="F26:I26" si="5">0.31*F25</f>
        <v>1957.9296060000017</v>
      </c>
      <c r="G26" s="24">
        <f t="shared" si="5"/>
        <v>1709.2021462500018</v>
      </c>
      <c r="H26" s="24">
        <f t="shared" si="5"/>
        <v>1796.3562321000043</v>
      </c>
      <c r="I26" s="24">
        <f t="shared" si="5"/>
        <v>1573.5103179499979</v>
      </c>
      <c r="J26" s="24">
        <f>0.31*J25</f>
        <v>2092.6137940030012</v>
      </c>
      <c r="K26" s="24"/>
      <c r="L26" s="24"/>
      <c r="M26" s="24"/>
      <c r="N26" s="24">
        <f>+'IS by Qtr'!F27</f>
        <v>1942</v>
      </c>
      <c r="O26" s="25"/>
      <c r="P26" s="24">
        <v>5743</v>
      </c>
      <c r="Q26" s="24">
        <f t="shared" si="1"/>
        <v>7036.9983023000059</v>
      </c>
      <c r="R26" s="24">
        <v>7034</v>
      </c>
      <c r="S26" s="25"/>
      <c r="T26" s="25"/>
      <c r="U26" s="25"/>
      <c r="V26" s="25"/>
      <c r="W26" s="25"/>
      <c r="X26" s="25"/>
      <c r="Y26" s="26"/>
      <c r="Z26" s="26"/>
      <c r="AA26" s="26"/>
      <c r="AB26" s="26"/>
      <c r="AC26" s="26"/>
      <c r="AD26" s="26"/>
      <c r="AE26" s="26"/>
      <c r="AF26" s="26"/>
      <c r="AG26" s="7"/>
      <c r="AH26" s="7"/>
      <c r="AI26" s="7"/>
      <c r="AJ26" s="7"/>
      <c r="AK26" s="7"/>
    </row>
    <row r="27" spans="1:37" x14ac:dyDescent="0.25">
      <c r="A27" s="28" t="s">
        <v>19</v>
      </c>
      <c r="B27" s="24">
        <v>3235</v>
      </c>
      <c r="C27" s="24">
        <v>5373</v>
      </c>
      <c r="D27" s="24">
        <v>4069</v>
      </c>
      <c r="E27" s="25">
        <f>+E25-E26</f>
        <v>219</v>
      </c>
      <c r="F27" s="24">
        <f t="shared" ref="F27:I27" si="6">+F25-F26</f>
        <v>4357.9723488387135</v>
      </c>
      <c r="G27" s="24">
        <f t="shared" si="6"/>
        <v>3804.3531642338748</v>
      </c>
      <c r="H27" s="24">
        <f t="shared" si="6"/>
        <v>3998.3412908032351</v>
      </c>
      <c r="I27" s="24">
        <f t="shared" si="6"/>
        <v>3502.3294173725758</v>
      </c>
      <c r="J27" s="24">
        <f>+J25-J26</f>
        <v>4657.7532834260355</v>
      </c>
      <c r="K27" s="24"/>
      <c r="L27" s="24"/>
      <c r="M27" s="24"/>
      <c r="N27" s="24">
        <f>+'IS by Qtr'!F29</f>
        <v>4532</v>
      </c>
      <c r="O27" s="25"/>
      <c r="P27" s="24">
        <v>12896</v>
      </c>
      <c r="Q27" s="24">
        <f t="shared" si="1"/>
        <v>15662.996221248399</v>
      </c>
      <c r="R27" s="24">
        <v>17244</v>
      </c>
      <c r="S27" s="25"/>
      <c r="T27" s="25"/>
      <c r="U27" s="25"/>
      <c r="V27" s="25"/>
      <c r="W27" s="25"/>
      <c r="X27" s="25"/>
      <c r="Y27" s="26"/>
      <c r="Z27" s="26"/>
      <c r="AA27" s="26"/>
      <c r="AB27" s="26"/>
      <c r="AC27" s="26"/>
      <c r="AD27" s="26"/>
      <c r="AE27" s="26"/>
      <c r="AF27" s="26"/>
      <c r="AG27" s="7"/>
      <c r="AH27" s="7"/>
      <c r="AI27" s="7"/>
      <c r="AJ27" s="7"/>
      <c r="AK27" s="7"/>
    </row>
    <row r="28" spans="1:37" x14ac:dyDescent="0.25">
      <c r="A28" s="28" t="s">
        <v>20</v>
      </c>
      <c r="B28" s="1"/>
      <c r="C28" s="1"/>
      <c r="D28" s="1"/>
      <c r="F28" s="1"/>
      <c r="G28" s="1"/>
      <c r="H28" s="1"/>
      <c r="I28" s="1"/>
      <c r="J28" s="1"/>
      <c r="K28" s="1"/>
      <c r="L28" s="1"/>
      <c r="M28" s="1"/>
      <c r="N28" s="24">
        <f>+'IS by Qtr'!F30</f>
        <v>0</v>
      </c>
      <c r="P28" s="1"/>
      <c r="Q28" s="1"/>
      <c r="R28" s="1"/>
    </row>
    <row r="29" spans="1:37" x14ac:dyDescent="0.25">
      <c r="A29" s="28" t="s">
        <v>21</v>
      </c>
      <c r="B29" s="6">
        <v>0.2</v>
      </c>
      <c r="C29" s="6">
        <v>0.33</v>
      </c>
      <c r="D29" s="6">
        <v>0.25</v>
      </c>
      <c r="F29" s="6">
        <f t="shared" ref="F29:I29" si="7">+F27/(F32/1000)</f>
        <v>0.25786818632181735</v>
      </c>
      <c r="G29" s="6">
        <f t="shared" si="7"/>
        <v>0.22510965468839497</v>
      </c>
      <c r="H29" s="6">
        <f t="shared" si="7"/>
        <v>0.23658824205936302</v>
      </c>
      <c r="I29" s="6">
        <f t="shared" si="7"/>
        <v>0.20723842706346601</v>
      </c>
      <c r="J29" s="6">
        <f>+J27/(J32/1000)</f>
        <v>0.27560670316130387</v>
      </c>
      <c r="K29" s="6"/>
      <c r="L29" s="6"/>
      <c r="M29" s="6"/>
      <c r="N29" s="24">
        <f>+'IS by Qtr'!F43</f>
        <v>0.27</v>
      </c>
      <c r="P29" s="6">
        <v>0.78</v>
      </c>
      <c r="Q29" s="6"/>
      <c r="R29" s="6">
        <v>1.03</v>
      </c>
    </row>
    <row r="30" spans="1:37" x14ac:dyDescent="0.25">
      <c r="A30" s="28" t="s">
        <v>22</v>
      </c>
      <c r="B30" s="6">
        <v>0.19</v>
      </c>
      <c r="C30" s="6">
        <v>0.32</v>
      </c>
      <c r="D30" s="6">
        <v>0.24</v>
      </c>
      <c r="F30" s="6">
        <f t="shared" ref="F30:I30" si="8">+F27/(F33/1000)</f>
        <v>0.2533704853975996</v>
      </c>
      <c r="G30" s="6">
        <f t="shared" si="8"/>
        <v>0.22118332350196948</v>
      </c>
      <c r="H30" s="6">
        <f t="shared" si="8"/>
        <v>0.23246170295367646</v>
      </c>
      <c r="I30" s="6">
        <f t="shared" si="8"/>
        <v>0.20362380333561486</v>
      </c>
      <c r="J30" s="6">
        <f>+J27/(J33/1000)</f>
        <v>0.27079960950151372</v>
      </c>
      <c r="K30" s="6"/>
      <c r="L30" s="6"/>
      <c r="M30" s="6"/>
      <c r="N30" s="24">
        <f>+'IS by Qtr'!F44</f>
        <v>0.27</v>
      </c>
      <c r="P30" s="6">
        <v>0.77</v>
      </c>
      <c r="Q30" s="6"/>
      <c r="R30" s="6">
        <v>1.02</v>
      </c>
    </row>
    <row r="31" spans="1:37" x14ac:dyDescent="0.25">
      <c r="A31" s="28" t="s">
        <v>23</v>
      </c>
      <c r="B31" s="1"/>
      <c r="C31" s="1"/>
      <c r="D31" s="1"/>
      <c r="F31" s="1"/>
      <c r="G31" s="1"/>
      <c r="H31" s="1"/>
      <c r="I31" s="1"/>
      <c r="J31" s="1"/>
      <c r="K31" s="1"/>
      <c r="L31" s="1"/>
      <c r="M31" s="1"/>
      <c r="N31" s="24">
        <f>+'IS by Qtr'!F45</f>
        <v>0</v>
      </c>
      <c r="P31" s="1"/>
      <c r="Q31" s="1"/>
      <c r="R31" s="1"/>
    </row>
    <row r="32" spans="1:37" x14ac:dyDescent="0.25">
      <c r="A32" s="28" t="s">
        <v>21</v>
      </c>
      <c r="B32" s="4">
        <v>16449682</v>
      </c>
      <c r="C32" s="4">
        <v>16470344</v>
      </c>
      <c r="D32" s="4">
        <v>16476472</v>
      </c>
      <c r="F32" s="4">
        <v>16900000</v>
      </c>
      <c r="G32" s="4">
        <v>16900000</v>
      </c>
      <c r="H32" s="4">
        <v>16900000</v>
      </c>
      <c r="I32" s="4">
        <v>16900000</v>
      </c>
      <c r="J32" s="4">
        <v>16900000</v>
      </c>
      <c r="K32" s="4"/>
      <c r="L32" s="4"/>
      <c r="M32" s="4"/>
      <c r="N32" s="24">
        <f>+'IS by Qtr'!F46</f>
        <v>16503226</v>
      </c>
      <c r="P32" s="4">
        <v>16470278</v>
      </c>
      <c r="Q32" s="4"/>
      <c r="R32" s="4">
        <v>16676073</v>
      </c>
    </row>
    <row r="33" spans="1:18" x14ac:dyDescent="0.25">
      <c r="A33" s="28" t="s">
        <v>22</v>
      </c>
      <c r="B33" s="4">
        <v>16689562</v>
      </c>
      <c r="C33" s="4">
        <v>16730963</v>
      </c>
      <c r="D33" s="4">
        <v>16760695</v>
      </c>
      <c r="F33" s="4">
        <f t="shared" ref="F33:I33" si="9">+F32+300000</f>
        <v>17200000</v>
      </c>
      <c r="G33" s="4">
        <f t="shared" si="9"/>
        <v>17200000</v>
      </c>
      <c r="H33" s="4">
        <f t="shared" si="9"/>
        <v>17200000</v>
      </c>
      <c r="I33" s="4">
        <f t="shared" si="9"/>
        <v>17200000</v>
      </c>
      <c r="J33" s="4">
        <f>+J32+300000</f>
        <v>17200000</v>
      </c>
      <c r="K33" s="4"/>
      <c r="L33" s="4"/>
      <c r="M33" s="4"/>
      <c r="N33" s="24">
        <f>+'IS by Qtr'!F47</f>
        <v>16803756</v>
      </c>
      <c r="P33" s="4">
        <v>16739387</v>
      </c>
      <c r="Q33" s="4"/>
      <c r="R33" s="4">
        <v>16887882</v>
      </c>
    </row>
    <row r="34" spans="1:18" x14ac:dyDescent="0.25">
      <c r="N34" s="24">
        <f>+'IS by Qtr'!F48</f>
        <v>0</v>
      </c>
    </row>
    <row r="36" spans="1:18" x14ac:dyDescent="0.25">
      <c r="A36" s="8" t="s">
        <v>61</v>
      </c>
      <c r="B36" s="21">
        <f>+B26/B25</f>
        <v>0.28994732221246705</v>
      </c>
      <c r="C36" s="21">
        <f t="shared" ref="C36:J36" si="10">+C26/C25</f>
        <v>0.28994317430950178</v>
      </c>
      <c r="D36" s="21">
        <f t="shared" si="10"/>
        <v>0.38311097634930263</v>
      </c>
      <c r="E36" s="21">
        <f t="shared" si="10"/>
        <v>3.7374999999999998</v>
      </c>
      <c r="F36" s="21">
        <f t="shared" si="10"/>
        <v>0.31</v>
      </c>
      <c r="G36" s="21">
        <f t="shared" si="10"/>
        <v>0.31</v>
      </c>
      <c r="H36" s="21">
        <f t="shared" si="10"/>
        <v>0.31</v>
      </c>
      <c r="I36" s="21">
        <f t="shared" si="10"/>
        <v>0.31</v>
      </c>
      <c r="J36" s="21">
        <f t="shared" si="10"/>
        <v>0.31</v>
      </c>
      <c r="K36" s="21"/>
      <c r="L36" s="21"/>
      <c r="M36" s="21"/>
      <c r="N36" s="21"/>
    </row>
    <row r="38" spans="1:18" x14ac:dyDescent="0.25">
      <c r="A38" s="8" t="s">
        <v>32</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workbookViewId="0">
      <pane xSplit="1" ySplit="7" topLeftCell="B8" activePane="bottomRight" state="frozen"/>
      <selection pane="topRight" activeCell="B1" sqref="B1"/>
      <selection pane="bottomLeft" activeCell="A8" sqref="A8"/>
      <selection pane="bottomRight" activeCell="J18" sqref="J18"/>
    </sheetView>
  </sheetViews>
  <sheetFormatPr defaultRowHeight="15" x14ac:dyDescent="0.25"/>
  <cols>
    <col min="1" max="1" width="36.5703125" customWidth="1"/>
    <col min="11" max="11" width="10.85546875" customWidth="1"/>
  </cols>
  <sheetData>
    <row r="1" spans="1:25" x14ac:dyDescent="0.25">
      <c r="A1" t="s">
        <v>58</v>
      </c>
    </row>
    <row r="2" spans="1:25" x14ac:dyDescent="0.25">
      <c r="A2" t="s">
        <v>59</v>
      </c>
      <c r="G2" s="21">
        <f>+G3/$J64</f>
        <v>0.22975408392842125</v>
      </c>
      <c r="H2" s="21">
        <f t="shared" ref="H2:J2" si="0">+H3/$J64</f>
        <v>0.25876254598180215</v>
      </c>
      <c r="I2" s="21">
        <f t="shared" si="0"/>
        <v>0.25195711074411398</v>
      </c>
      <c r="J2" s="21">
        <f t="shared" si="0"/>
        <v>0.23269466775301054</v>
      </c>
    </row>
    <row r="3" spans="1:25" x14ac:dyDescent="0.25">
      <c r="G3" s="7">
        <f>+Assumptions!G18</f>
        <v>78054</v>
      </c>
      <c r="H3" s="7">
        <f>+Assumptions!H18</f>
        <v>87909</v>
      </c>
      <c r="I3" s="7">
        <f>+Assumptions!I18</f>
        <v>85597</v>
      </c>
      <c r="J3" s="7">
        <f>+Assumptions!J18</f>
        <v>79053</v>
      </c>
      <c r="M3" s="7">
        <f>SUM(G3:J3)</f>
        <v>330613</v>
      </c>
    </row>
    <row r="4" spans="1:25" x14ac:dyDescent="0.25">
      <c r="G4" s="7">
        <f>+Assumptions!G10</f>
        <v>71</v>
      </c>
      <c r="H4" s="7">
        <f>+Assumptions!H10</f>
        <v>75</v>
      </c>
      <c r="I4" s="7">
        <f>+Assumptions!I10</f>
        <v>77</v>
      </c>
      <c r="J4" s="7">
        <f>+Assumptions!J10</f>
        <v>80</v>
      </c>
    </row>
    <row r="5" spans="1:25" x14ac:dyDescent="0.25">
      <c r="K5" s="9" t="s">
        <v>51</v>
      </c>
    </row>
    <row r="6" spans="1:25" x14ac:dyDescent="0.25">
      <c r="B6" s="10" t="s">
        <v>33</v>
      </c>
      <c r="C6" s="12" t="s">
        <v>36</v>
      </c>
      <c r="D6" s="12" t="s">
        <v>37</v>
      </c>
      <c r="E6" s="12" t="s">
        <v>38</v>
      </c>
      <c r="F6" s="10" t="s">
        <v>33</v>
      </c>
      <c r="G6" s="12" t="s">
        <v>36</v>
      </c>
      <c r="H6" s="12" t="s">
        <v>37</v>
      </c>
      <c r="I6" s="12" t="s">
        <v>38</v>
      </c>
      <c r="J6" s="10" t="s">
        <v>33</v>
      </c>
      <c r="K6" s="12" t="s">
        <v>36</v>
      </c>
    </row>
    <row r="7" spans="1:25" x14ac:dyDescent="0.25">
      <c r="B7" s="11" t="s">
        <v>34</v>
      </c>
      <c r="C7" s="11" t="s">
        <v>34</v>
      </c>
      <c r="D7" s="11" t="s">
        <v>34</v>
      </c>
      <c r="E7" s="11" t="s">
        <v>34</v>
      </c>
      <c r="F7" s="11" t="s">
        <v>34</v>
      </c>
      <c r="G7" s="11" t="s">
        <v>39</v>
      </c>
      <c r="H7" s="11" t="s">
        <v>39</v>
      </c>
      <c r="I7" s="11" t="s">
        <v>39</v>
      </c>
      <c r="J7" s="11" t="s">
        <v>39</v>
      </c>
      <c r="K7" s="11" t="s">
        <v>50</v>
      </c>
    </row>
    <row r="8" spans="1:25" x14ac:dyDescent="0.25">
      <c r="A8" t="s">
        <v>47</v>
      </c>
    </row>
    <row r="9" spans="1:25" x14ac:dyDescent="0.25">
      <c r="A9" t="s">
        <v>48</v>
      </c>
    </row>
    <row r="10" spans="1:25" x14ac:dyDescent="0.25">
      <c r="A10" s="29" t="s">
        <v>49</v>
      </c>
      <c r="B10" s="30">
        <f>+'Store info by Qtr'!B7</f>
        <v>59</v>
      </c>
      <c r="C10" s="30">
        <f>+'Store info by Qtr'!C7</f>
        <v>62</v>
      </c>
      <c r="D10" s="30">
        <f>+'Store info by Qtr'!D7</f>
        <v>63</v>
      </c>
      <c r="E10" s="30">
        <f>+'Store info by Qtr'!E7</f>
        <v>65</v>
      </c>
      <c r="F10" s="30">
        <f>+'Store info by Qtr'!F7</f>
        <v>69</v>
      </c>
      <c r="G10" s="30">
        <v>72</v>
      </c>
      <c r="H10" s="30">
        <v>75</v>
      </c>
      <c r="I10" s="30">
        <v>78</v>
      </c>
      <c r="J10" s="30">
        <v>81</v>
      </c>
      <c r="K10" s="29">
        <v>83</v>
      </c>
    </row>
    <row r="11" spans="1:25" x14ac:dyDescent="0.25">
      <c r="B11" s="7"/>
      <c r="C11" s="7"/>
      <c r="D11" s="7"/>
      <c r="E11" s="7"/>
      <c r="F11" s="7"/>
      <c r="G11" s="7"/>
      <c r="H11" s="7"/>
      <c r="I11" s="7"/>
      <c r="J11" s="7"/>
    </row>
    <row r="12" spans="1:25" x14ac:dyDescent="0.25">
      <c r="B12" s="7"/>
      <c r="C12" s="43"/>
      <c r="D12" s="43"/>
      <c r="E12" s="43"/>
      <c r="F12" s="43"/>
      <c r="G12" s="43"/>
      <c r="H12" s="43"/>
      <c r="I12" s="43"/>
      <c r="J12" s="43"/>
    </row>
    <row r="13" spans="1:25" x14ac:dyDescent="0.25">
      <c r="A13" t="s">
        <v>66</v>
      </c>
      <c r="B13" s="7"/>
      <c r="C13" s="42">
        <v>1.9E-2</v>
      </c>
      <c r="D13" s="42">
        <v>3.2000000000000001E-2</v>
      </c>
      <c r="E13" s="42">
        <v>4.2000000000000003E-2</v>
      </c>
      <c r="F13" s="42">
        <v>3.2000000000000001E-2</v>
      </c>
      <c r="G13" s="43"/>
      <c r="H13" s="43"/>
      <c r="I13" s="43"/>
      <c r="J13" s="43"/>
    </row>
    <row r="14" spans="1:25" x14ac:dyDescent="0.25">
      <c r="B14" s="7"/>
      <c r="C14" s="43"/>
      <c r="D14" s="43"/>
      <c r="E14" s="43"/>
      <c r="F14" s="43"/>
      <c r="G14" s="43"/>
      <c r="H14" s="43"/>
      <c r="I14" s="43"/>
      <c r="J14" s="43"/>
    </row>
    <row r="15" spans="1:25" x14ac:dyDescent="0.25">
      <c r="A15" t="s">
        <v>71</v>
      </c>
      <c r="G15" s="42">
        <v>0.03</v>
      </c>
      <c r="H15" s="42">
        <v>0.02</v>
      </c>
      <c r="I15" s="42">
        <v>0.02</v>
      </c>
      <c r="J15" s="42">
        <v>0.02</v>
      </c>
      <c r="K15" s="42">
        <v>0.02</v>
      </c>
    </row>
    <row r="16" spans="1:25" x14ac:dyDescent="0.25">
      <c r="A16" s="29" t="s">
        <v>53</v>
      </c>
      <c r="B16" s="29"/>
      <c r="C16" s="30">
        <f>+C18/C10</f>
        <v>1077.8870967741937</v>
      </c>
      <c r="D16" s="30">
        <f>+D18/D10</f>
        <v>1196.2222222222222</v>
      </c>
      <c r="E16" s="30">
        <f>+E18/E10</f>
        <v>1137.0769230769231</v>
      </c>
      <c r="F16" s="30">
        <f>+F18/F10</f>
        <v>1028.4202898550725</v>
      </c>
      <c r="G16" s="30">
        <f>+C16*(1+G15)</f>
        <v>1110.2237096774195</v>
      </c>
      <c r="H16" s="30">
        <f>+G16</f>
        <v>1110.2237096774195</v>
      </c>
      <c r="I16" s="30">
        <f t="shared" ref="I16:J16" si="1">+H16</f>
        <v>1110.2237096774195</v>
      </c>
      <c r="J16" s="30">
        <f t="shared" si="1"/>
        <v>1110.2237096774195</v>
      </c>
      <c r="K16" s="30">
        <f t="shared" ref="K16" si="2">+G16*(1+K15)</f>
        <v>1132.4281838709678</v>
      </c>
      <c r="L16" s="7"/>
      <c r="M16" s="7"/>
      <c r="N16" s="7"/>
      <c r="O16" s="7"/>
      <c r="P16" s="7"/>
      <c r="Q16" s="7"/>
      <c r="R16" s="7"/>
      <c r="S16" s="7"/>
      <c r="T16" s="7"/>
      <c r="U16" s="7"/>
      <c r="V16" s="7"/>
      <c r="W16" s="7"/>
      <c r="X16" s="7"/>
      <c r="Y16" s="7"/>
    </row>
    <row r="17" spans="1:25" x14ac:dyDescent="0.25">
      <c r="A17" t="s">
        <v>79</v>
      </c>
      <c r="C17" s="7"/>
      <c r="D17" s="7">
        <f t="shared" ref="D17:E17" si="3">AVERAGE(C16:D16)</f>
        <v>1137.0546594982079</v>
      </c>
      <c r="E17" s="7">
        <f t="shared" si="3"/>
        <v>1166.6495726495727</v>
      </c>
      <c r="F17" s="7">
        <f>AVERAGE(E16:F16)</f>
        <v>1082.7486064659979</v>
      </c>
      <c r="G17" s="7">
        <f t="shared" ref="G17" si="4">AVERAGE(D16:G16)</f>
        <v>1117.9857862079093</v>
      </c>
      <c r="H17" s="7">
        <f t="shared" ref="H17" si="5">AVERAGE(E16:H16)</f>
        <v>1096.4861580717088</v>
      </c>
      <c r="I17" s="7">
        <f t="shared" ref="I17" si="6">AVERAGE(F16:I16)</f>
        <v>1089.7728547218328</v>
      </c>
      <c r="J17" s="7">
        <f t="shared" ref="J17" si="7">AVERAGE(G16:J16)</f>
        <v>1110.2237096774195</v>
      </c>
      <c r="K17" s="7">
        <f t="shared" ref="K17" si="8">AVERAGE(H16:K16)</f>
        <v>1115.7748282258065</v>
      </c>
      <c r="L17" s="7"/>
      <c r="M17" s="7"/>
      <c r="N17" s="7"/>
      <c r="O17" s="7"/>
      <c r="P17" s="7"/>
      <c r="Q17" s="7"/>
      <c r="R17" s="7"/>
      <c r="S17" s="7"/>
      <c r="T17" s="7"/>
      <c r="U17" s="7"/>
      <c r="V17" s="7"/>
      <c r="W17" s="7"/>
      <c r="X17" s="7"/>
      <c r="Y17" s="7"/>
    </row>
    <row r="18" spans="1:25" x14ac:dyDescent="0.25">
      <c r="A18" t="s">
        <v>52</v>
      </c>
      <c r="C18" s="7">
        <f>+'IS by Qtr'!B11</f>
        <v>66829</v>
      </c>
      <c r="D18" s="7">
        <f>+'IS by Qtr'!C11</f>
        <v>75362</v>
      </c>
      <c r="E18" s="7">
        <f>+'IS by Qtr'!D11</f>
        <v>73910</v>
      </c>
      <c r="F18" s="7">
        <f>+'IS by Qtr'!E11</f>
        <v>70961</v>
      </c>
      <c r="G18" s="7">
        <f t="shared" ref="G18:J18" si="9">+G10*G16</f>
        <v>79936.107096774198</v>
      </c>
      <c r="H18" s="7">
        <f t="shared" si="9"/>
        <v>83266.778225806469</v>
      </c>
      <c r="I18" s="7">
        <f t="shared" si="9"/>
        <v>86597.449354838725</v>
      </c>
      <c r="J18" s="7">
        <f t="shared" si="9"/>
        <v>89928.120483870982</v>
      </c>
      <c r="K18" s="7">
        <f>+K10*K16</f>
        <v>93991.539261290323</v>
      </c>
      <c r="L18" s="7"/>
      <c r="M18" s="7">
        <f>SUM(G18:J18)</f>
        <v>339728.45516129036</v>
      </c>
      <c r="N18" s="7">
        <f>+M18-M3</f>
        <v>9115.4551612903597</v>
      </c>
      <c r="O18" s="7"/>
      <c r="P18" s="7"/>
      <c r="Q18" s="7"/>
      <c r="R18" s="7"/>
      <c r="S18" s="7"/>
      <c r="T18" s="7"/>
      <c r="U18" s="7"/>
      <c r="V18" s="7"/>
      <c r="W18" s="7"/>
      <c r="X18" s="7"/>
    </row>
    <row r="19" spans="1:25" x14ac:dyDescent="0.25">
      <c r="A19" t="s">
        <v>54</v>
      </c>
      <c r="C19" s="21">
        <f>+C18/$F64</f>
        <v>0.23280336652012457</v>
      </c>
      <c r="D19" s="21">
        <f>+D18/$F64</f>
        <v>0.26252865234687978</v>
      </c>
      <c r="E19" s="21">
        <f>+E18/$F64</f>
        <v>0.2574705115967979</v>
      </c>
      <c r="F19" s="21">
        <f>+F18/$F64</f>
        <v>0.24719746953619776</v>
      </c>
      <c r="G19" s="21">
        <f>+G18/$J64</f>
        <v>0.23529411764705882</v>
      </c>
      <c r="H19" s="21">
        <f t="shared" ref="H19:J19" si="10">+H18/$J64</f>
        <v>0.24509803921568629</v>
      </c>
      <c r="I19" s="21">
        <f t="shared" si="10"/>
        <v>0.25490196078431376</v>
      </c>
      <c r="J19" s="21">
        <f t="shared" si="10"/>
        <v>0.26470588235294118</v>
      </c>
    </row>
    <row r="21" spans="1:25" x14ac:dyDescent="0.25">
      <c r="A21" t="s">
        <v>6</v>
      </c>
      <c r="C21" s="7">
        <f>+'IS by Qtr'!B13</f>
        <v>17544</v>
      </c>
      <c r="D21" s="7">
        <f>+'IS by Qtr'!C13</f>
        <v>19802</v>
      </c>
      <c r="E21" s="7">
        <f>+'IS by Qtr'!D13</f>
        <v>19674</v>
      </c>
      <c r="F21" s="7">
        <f>+'IS by Qtr'!E13</f>
        <v>18666</v>
      </c>
      <c r="G21" s="7">
        <f t="shared" ref="G21:J21" si="11">+G18*G22</f>
        <v>21023.196166451617</v>
      </c>
      <c r="H21" s="7">
        <f t="shared" si="11"/>
        <v>21899.162673387102</v>
      </c>
      <c r="I21" s="7">
        <f t="shared" si="11"/>
        <v>22775.129180322587</v>
      </c>
      <c r="J21" s="7">
        <f t="shared" si="11"/>
        <v>23651.095687258068</v>
      </c>
      <c r="K21" s="7">
        <f>+K18*K22</f>
        <v>24719.774825719356</v>
      </c>
    </row>
    <row r="22" spans="1:25" x14ac:dyDescent="0.25">
      <c r="A22" s="29" t="s">
        <v>56</v>
      </c>
      <c r="B22" s="29"/>
      <c r="C22" s="31">
        <f>+C21/C18</f>
        <v>0.26252076194466473</v>
      </c>
      <c r="D22" s="31">
        <f t="shared" ref="D22:F22" si="12">+D21/D18</f>
        <v>0.26275841936254346</v>
      </c>
      <c r="E22" s="31">
        <f t="shared" si="12"/>
        <v>0.26618860776620212</v>
      </c>
      <c r="F22" s="31">
        <f t="shared" si="12"/>
        <v>0.26304589845126197</v>
      </c>
      <c r="G22" s="31">
        <v>0.26300000000000001</v>
      </c>
      <c r="H22" s="31">
        <v>0.26300000000000001</v>
      </c>
      <c r="I22" s="31">
        <v>0.26300000000000001</v>
      </c>
      <c r="J22" s="31">
        <v>0.26300000000000001</v>
      </c>
      <c r="K22" s="31">
        <v>0.26300000000000001</v>
      </c>
    </row>
    <row r="24" spans="1:25" x14ac:dyDescent="0.25">
      <c r="A24" t="s">
        <v>7</v>
      </c>
      <c r="C24" s="7">
        <f>+'IS by Qtr'!B14</f>
        <v>22146</v>
      </c>
      <c r="D24" s="7">
        <f>+'IS by Qtr'!C14</f>
        <v>24127</v>
      </c>
      <c r="E24" s="7">
        <f>+'IS by Qtr'!D14</f>
        <v>23641</v>
      </c>
      <c r="F24" s="7">
        <f>+'IS by Qtr'!E14</f>
        <v>23711</v>
      </c>
      <c r="G24" s="7">
        <f t="shared" ref="G24:J24" si="13">+G18*G25</f>
        <v>26378.915341935488</v>
      </c>
      <c r="H24" s="7">
        <f t="shared" si="13"/>
        <v>27977.637483870974</v>
      </c>
      <c r="I24" s="7">
        <f t="shared" si="13"/>
        <v>29096.742983225813</v>
      </c>
      <c r="J24" s="7">
        <f t="shared" si="13"/>
        <v>30215.848482580652</v>
      </c>
      <c r="K24" s="7">
        <f>+K18*K25</f>
        <v>31957.123348838712</v>
      </c>
    </row>
    <row r="25" spans="1:25" x14ac:dyDescent="0.25">
      <c r="A25" s="29" t="s">
        <v>56</v>
      </c>
      <c r="B25" s="29"/>
      <c r="C25" s="31">
        <f>+C24/C18</f>
        <v>0.33138308219485552</v>
      </c>
      <c r="D25" s="31">
        <f t="shared" ref="D25:F25" si="14">+D24/D18</f>
        <v>0.32014808524189908</v>
      </c>
      <c r="E25" s="31">
        <f t="shared" si="14"/>
        <v>0.31986199431741308</v>
      </c>
      <c r="F25" s="31">
        <f t="shared" si="14"/>
        <v>0.3341412888769888</v>
      </c>
      <c r="G25" s="31">
        <v>0.33</v>
      </c>
      <c r="H25" s="31">
        <v>0.33600000000000002</v>
      </c>
      <c r="I25" s="31">
        <v>0.33600000000000002</v>
      </c>
      <c r="J25" s="31">
        <v>0.33600000000000002</v>
      </c>
      <c r="K25" s="31">
        <v>0.34</v>
      </c>
    </row>
    <row r="27" spans="1:25" x14ac:dyDescent="0.25">
      <c r="A27" s="28" t="s">
        <v>8</v>
      </c>
      <c r="C27" s="7">
        <f>+'IS by Qtr'!B15</f>
        <v>9331</v>
      </c>
      <c r="D27" s="7">
        <f>+'IS by Qtr'!C15</f>
        <v>10168</v>
      </c>
      <c r="E27" s="7">
        <f>+'IS by Qtr'!D15</f>
        <v>10235</v>
      </c>
      <c r="F27" s="7">
        <f>+'IS by Qtr'!E15</f>
        <v>10220</v>
      </c>
      <c r="G27" s="7">
        <f t="shared" ref="G27:J27" si="15">+G18*G28</f>
        <v>11191.054993548389</v>
      </c>
      <c r="H27" s="7">
        <f t="shared" si="15"/>
        <v>11823.882508064518</v>
      </c>
      <c r="I27" s="7">
        <f t="shared" si="15"/>
        <v>12296.837808387098</v>
      </c>
      <c r="J27" s="7">
        <f t="shared" si="15"/>
        <v>12769.793108709679</v>
      </c>
      <c r="K27" s="7">
        <f>+K18*K28</f>
        <v>13346.798575103225</v>
      </c>
    </row>
    <row r="28" spans="1:25" x14ac:dyDescent="0.25">
      <c r="A28" s="29" t="s">
        <v>56</v>
      </c>
      <c r="B28" s="29"/>
      <c r="C28" s="31">
        <f>+C27/C18</f>
        <v>0.13962501309311826</v>
      </c>
      <c r="D28" s="31">
        <f t="shared" ref="D28:F28" si="16">+D27/D18</f>
        <v>0.13492210928584697</v>
      </c>
      <c r="E28" s="31">
        <f t="shared" si="16"/>
        <v>0.13847923149776756</v>
      </c>
      <c r="F28" s="31">
        <f t="shared" si="16"/>
        <v>0.14402277307253281</v>
      </c>
      <c r="G28" s="31">
        <v>0.14000000000000001</v>
      </c>
      <c r="H28" s="31">
        <v>0.14199999999999999</v>
      </c>
      <c r="I28" s="31">
        <v>0.14199999999999999</v>
      </c>
      <c r="J28" s="31">
        <v>0.14199999999999999</v>
      </c>
      <c r="K28" s="31">
        <v>0.14199999999999999</v>
      </c>
    </row>
    <row r="29" spans="1:25" x14ac:dyDescent="0.25">
      <c r="A29" s="28"/>
    </row>
    <row r="30" spans="1:25" x14ac:dyDescent="0.25">
      <c r="A30" s="28" t="s">
        <v>9</v>
      </c>
      <c r="C30" s="7">
        <f>+'IS by Qtr'!B16</f>
        <v>4480</v>
      </c>
      <c r="D30" s="7">
        <f>+'IS by Qtr'!C16</f>
        <v>4867</v>
      </c>
      <c r="E30" s="7">
        <f>+'IS by Qtr'!D16</f>
        <v>4802</v>
      </c>
      <c r="F30" s="7">
        <f>+'IS by Qtr'!E16</f>
        <v>4870</v>
      </c>
      <c r="G30" s="7">
        <f t="shared" ref="G30:J30" si="17">+G10*G31</f>
        <v>5256</v>
      </c>
      <c r="H30" s="7">
        <f t="shared" si="17"/>
        <v>5550</v>
      </c>
      <c r="I30" s="7">
        <f t="shared" si="17"/>
        <v>5772</v>
      </c>
      <c r="J30" s="7">
        <f t="shared" si="17"/>
        <v>5994</v>
      </c>
      <c r="K30" s="7">
        <f>+K10*K31</f>
        <v>6142</v>
      </c>
    </row>
    <row r="31" spans="1:25" x14ac:dyDescent="0.25">
      <c r="A31" s="33" t="s">
        <v>57</v>
      </c>
      <c r="B31" s="29"/>
      <c r="C31" s="32">
        <f>+C30/C10</f>
        <v>72.258064516129039</v>
      </c>
      <c r="D31" s="32">
        <f>+D30/D10</f>
        <v>77.253968253968253</v>
      </c>
      <c r="E31" s="32">
        <f>+E30/E10</f>
        <v>73.876923076923077</v>
      </c>
      <c r="F31" s="32">
        <f>+F30/F10</f>
        <v>70.579710144927532</v>
      </c>
      <c r="G31" s="32">
        <v>73</v>
      </c>
      <c r="H31" s="32">
        <v>74</v>
      </c>
      <c r="I31" s="32">
        <v>74</v>
      </c>
      <c r="J31" s="32">
        <v>74</v>
      </c>
      <c r="K31" s="32">
        <v>74</v>
      </c>
    </row>
    <row r="32" spans="1:25" x14ac:dyDescent="0.25">
      <c r="A32" s="28"/>
    </row>
    <row r="33" spans="1:11" x14ac:dyDescent="0.25">
      <c r="A33" s="28" t="s">
        <v>10</v>
      </c>
      <c r="C33" s="7">
        <f>+'IS by Qtr'!B17</f>
        <v>4084</v>
      </c>
      <c r="D33" s="7">
        <f>+'IS by Qtr'!C17</f>
        <v>4299</v>
      </c>
      <c r="E33" s="7">
        <f>+'IS by Qtr'!D17</f>
        <v>4073</v>
      </c>
      <c r="F33" s="7">
        <f>+'IS by Qtr'!E17</f>
        <v>3720</v>
      </c>
      <c r="G33" s="7">
        <f t="shared" ref="G33:J33" si="18">+G35*G18</f>
        <v>4396.4858903225813</v>
      </c>
      <c r="H33" s="7">
        <f t="shared" si="18"/>
        <v>4579.6728024193562</v>
      </c>
      <c r="I33" s="7">
        <f t="shared" si="18"/>
        <v>4762.8597145161302</v>
      </c>
      <c r="J33" s="7">
        <f t="shared" si="18"/>
        <v>4946.0466266129042</v>
      </c>
      <c r="K33" s="7">
        <f>+K35*K18</f>
        <v>5263.5261986322585</v>
      </c>
    </row>
    <row r="34" spans="1:11" x14ac:dyDescent="0.25">
      <c r="A34" s="8" t="s">
        <v>57</v>
      </c>
      <c r="C34" s="22">
        <f>+C33/C10</f>
        <v>65.870967741935488</v>
      </c>
      <c r="D34" s="22">
        <f>+D33/D10</f>
        <v>68.238095238095241</v>
      </c>
      <c r="E34" s="22">
        <f>+E33/E10</f>
        <v>62.661538461538463</v>
      </c>
      <c r="F34" s="22">
        <f>+F33/F10</f>
        <v>53.913043478260867</v>
      </c>
      <c r="G34" s="22">
        <v>60</v>
      </c>
      <c r="H34" s="22">
        <f t="shared" ref="H34:J34" si="19">+H33/H10</f>
        <v>61.062304032258083</v>
      </c>
      <c r="I34" s="22">
        <f t="shared" si="19"/>
        <v>61.062304032258076</v>
      </c>
      <c r="J34" s="22">
        <f t="shared" si="19"/>
        <v>61.062304032258076</v>
      </c>
      <c r="K34" s="22">
        <f>+K33/K10</f>
        <v>63.415978296774199</v>
      </c>
    </row>
    <row r="35" spans="1:11" x14ac:dyDescent="0.25">
      <c r="A35" s="29" t="s">
        <v>56</v>
      </c>
      <c r="B35" s="29"/>
      <c r="C35" s="31">
        <f>+C33/C18</f>
        <v>6.1111194242020682E-2</v>
      </c>
      <c r="D35" s="31">
        <f t="shared" ref="D35:F35" si="20">+D33/D18</f>
        <v>5.7044664419734083E-2</v>
      </c>
      <c r="E35" s="31">
        <f t="shared" si="20"/>
        <v>5.5107563252604519E-2</v>
      </c>
      <c r="F35" s="31">
        <f t="shared" si="20"/>
        <v>5.2423162018573582E-2</v>
      </c>
      <c r="G35" s="31">
        <v>5.5E-2</v>
      </c>
      <c r="H35" s="31">
        <v>5.5E-2</v>
      </c>
      <c r="I35" s="31">
        <v>5.5E-2</v>
      </c>
      <c r="J35" s="31">
        <v>5.5E-2</v>
      </c>
      <c r="K35" s="31">
        <v>5.6000000000000001E-2</v>
      </c>
    </row>
    <row r="36" spans="1:11" x14ac:dyDescent="0.25">
      <c r="A36" s="28"/>
    </row>
    <row r="37" spans="1:11" x14ac:dyDescent="0.25">
      <c r="A37" s="28" t="s">
        <v>11</v>
      </c>
      <c r="C37" s="7">
        <f>+'IS by Qtr'!B18</f>
        <v>535</v>
      </c>
      <c r="D37" s="7">
        <f>+'IS by Qtr'!C18</f>
        <v>609</v>
      </c>
      <c r="E37" s="7">
        <f>+'IS by Qtr'!D18</f>
        <v>576</v>
      </c>
      <c r="F37" s="7">
        <f>+'IS by Qtr'!E18</f>
        <v>529</v>
      </c>
      <c r="G37" s="7">
        <f t="shared" ref="G37:J37" si="21">+G38*G18</f>
        <v>559.55274967741934</v>
      </c>
      <c r="H37" s="7">
        <f t="shared" si="21"/>
        <v>582.86744758064526</v>
      </c>
      <c r="I37" s="7">
        <f t="shared" si="21"/>
        <v>606.18214548387107</v>
      </c>
      <c r="J37" s="7">
        <f t="shared" si="21"/>
        <v>629.49684338709687</v>
      </c>
      <c r="K37" s="7">
        <f>+K38*K18</f>
        <v>563.94923556774199</v>
      </c>
    </row>
    <row r="38" spans="1:11" x14ac:dyDescent="0.25">
      <c r="A38" s="29" t="s">
        <v>56</v>
      </c>
      <c r="B38" s="29"/>
      <c r="C38" s="31">
        <f>+C37/C18</f>
        <v>8.0055065914498204E-3</v>
      </c>
      <c r="D38" s="31">
        <f t="shared" ref="D38:F38" si="22">+D37/D18</f>
        <v>8.0809957272896162E-3</v>
      </c>
      <c r="E38" s="31">
        <f t="shared" si="22"/>
        <v>7.7932620754972261E-3</v>
      </c>
      <c r="F38" s="31">
        <f t="shared" si="22"/>
        <v>7.4547991150068346E-3</v>
      </c>
      <c r="G38" s="31">
        <v>7.0000000000000001E-3</v>
      </c>
      <c r="H38" s="31">
        <v>7.0000000000000001E-3</v>
      </c>
      <c r="I38" s="31">
        <v>7.0000000000000001E-3</v>
      </c>
      <c r="J38" s="31">
        <v>7.0000000000000001E-3</v>
      </c>
      <c r="K38" s="31">
        <v>6.0000000000000001E-3</v>
      </c>
    </row>
    <row r="39" spans="1:11" x14ac:dyDescent="0.25">
      <c r="A39" s="28"/>
    </row>
    <row r="40" spans="1:11" x14ac:dyDescent="0.25">
      <c r="A40" s="28" t="s">
        <v>12</v>
      </c>
      <c r="C40" s="7">
        <f>+'IS by Qtr'!B19</f>
        <v>1108</v>
      </c>
      <c r="D40" s="7">
        <f>+'IS by Qtr'!C19</f>
        <v>699</v>
      </c>
      <c r="E40" s="7">
        <f>+'IS by Qtr'!D19</f>
        <v>1067</v>
      </c>
      <c r="F40" s="7">
        <f>+'IS by Qtr'!E19</f>
        <v>1543</v>
      </c>
      <c r="G40" s="7">
        <f t="shared" ref="G40:J40" si="23">+G41*(G10-F10)</f>
        <v>1200</v>
      </c>
      <c r="H40" s="7">
        <f t="shared" si="23"/>
        <v>1500</v>
      </c>
      <c r="I40" s="7">
        <f t="shared" si="23"/>
        <v>1500</v>
      </c>
      <c r="J40" s="7">
        <f t="shared" si="23"/>
        <v>1500</v>
      </c>
      <c r="K40" s="7">
        <f>+K41*(K10-J10)</f>
        <v>1000</v>
      </c>
    </row>
    <row r="41" spans="1:11" x14ac:dyDescent="0.25">
      <c r="A41" s="34" t="s">
        <v>60</v>
      </c>
      <c r="B41" s="29"/>
      <c r="C41" s="30">
        <f>C40/(C10-B10)</f>
        <v>369.33333333333331</v>
      </c>
      <c r="D41" s="30">
        <f>D40/(D10-C10)</f>
        <v>699</v>
      </c>
      <c r="E41" s="30">
        <f>E40/(E10-D10)</f>
        <v>533.5</v>
      </c>
      <c r="F41" s="30">
        <f>F40/(F10-E10)</f>
        <v>385.75</v>
      </c>
      <c r="G41" s="30">
        <v>400</v>
      </c>
      <c r="H41" s="30">
        <v>500</v>
      </c>
      <c r="I41" s="30">
        <v>500</v>
      </c>
      <c r="J41" s="30">
        <v>500</v>
      </c>
      <c r="K41" s="30">
        <v>500</v>
      </c>
    </row>
    <row r="42" spans="1:11" x14ac:dyDescent="0.25">
      <c r="A42" s="28"/>
    </row>
    <row r="43" spans="1:11" x14ac:dyDescent="0.25">
      <c r="A43" s="34" t="s">
        <v>31</v>
      </c>
      <c r="B43" s="29"/>
      <c r="C43" s="30">
        <f>+'IS by Qtr'!B20</f>
        <v>0</v>
      </c>
      <c r="D43" s="30">
        <f>+'IS by Qtr'!C20</f>
        <v>0</v>
      </c>
      <c r="E43" s="30">
        <f>+'IS by Qtr'!D20</f>
        <v>0</v>
      </c>
      <c r="F43" s="30">
        <f>+'IS by Qtr'!E20</f>
        <v>4360</v>
      </c>
      <c r="G43" s="29">
        <v>0</v>
      </c>
      <c r="H43" s="29">
        <v>0</v>
      </c>
      <c r="I43" s="29">
        <v>0</v>
      </c>
      <c r="J43" s="29">
        <v>1000</v>
      </c>
      <c r="K43" s="29">
        <v>0</v>
      </c>
    </row>
    <row r="44" spans="1:11" x14ac:dyDescent="0.25">
      <c r="A44" s="28"/>
    </row>
    <row r="45" spans="1:11" x14ac:dyDescent="0.25">
      <c r="A45" s="28"/>
    </row>
    <row r="46" spans="1:11" x14ac:dyDescent="0.25">
      <c r="A46" s="28" t="s">
        <v>13</v>
      </c>
      <c r="C46" s="7">
        <f>+'IS by Qtr'!B21</f>
        <v>2998</v>
      </c>
      <c r="D46" s="7">
        <f>+'IS by Qtr'!C21</f>
        <v>3194</v>
      </c>
      <c r="E46" s="7">
        <f>+'IS by Qtr'!D21</f>
        <v>3230</v>
      </c>
      <c r="F46" s="7">
        <f>+'IS by Qtr'!E21</f>
        <v>3405</v>
      </c>
      <c r="G46" s="7">
        <f t="shared" ref="G46:J46" si="24">+G47*G10</f>
        <v>3600</v>
      </c>
      <c r="H46" s="7">
        <f t="shared" si="24"/>
        <v>3825</v>
      </c>
      <c r="I46" s="7">
        <f t="shared" si="24"/>
        <v>3978</v>
      </c>
      <c r="J46" s="7">
        <f t="shared" si="24"/>
        <v>4131</v>
      </c>
      <c r="K46" s="7">
        <f>+K47*K10</f>
        <v>4233</v>
      </c>
    </row>
    <row r="47" spans="1:11" x14ac:dyDescent="0.25">
      <c r="A47" s="29" t="s">
        <v>57</v>
      </c>
      <c r="B47" s="29"/>
      <c r="C47" s="35">
        <f>+C46/C10</f>
        <v>48.354838709677416</v>
      </c>
      <c r="D47" s="35">
        <f>+D46/D10</f>
        <v>50.698412698412696</v>
      </c>
      <c r="E47" s="35">
        <f>+E46/E10</f>
        <v>49.692307692307693</v>
      </c>
      <c r="F47" s="35">
        <f>+F46/F10</f>
        <v>49.347826086956523</v>
      </c>
      <c r="G47" s="35">
        <v>50</v>
      </c>
      <c r="H47" s="35">
        <v>51</v>
      </c>
      <c r="I47" s="35">
        <v>51</v>
      </c>
      <c r="J47" s="35">
        <v>51</v>
      </c>
      <c r="K47" s="35">
        <v>51</v>
      </c>
    </row>
    <row r="48" spans="1:11" x14ac:dyDescent="0.25">
      <c r="C48" s="23"/>
      <c r="D48" s="23"/>
      <c r="E48" s="23"/>
      <c r="F48" s="23"/>
      <c r="G48" s="23"/>
      <c r="H48" s="23"/>
      <c r="I48" s="23"/>
      <c r="J48" s="23"/>
      <c r="K48" s="23"/>
    </row>
    <row r="49" spans="1:11" x14ac:dyDescent="0.25">
      <c r="A49" s="29" t="s">
        <v>68</v>
      </c>
      <c r="B49" s="29"/>
      <c r="C49" s="35"/>
      <c r="D49" s="35"/>
      <c r="E49" s="35"/>
      <c r="F49" s="35"/>
      <c r="G49" s="35">
        <v>15</v>
      </c>
      <c r="H49" s="35">
        <v>15</v>
      </c>
      <c r="I49" s="35">
        <v>15</v>
      </c>
      <c r="J49" s="35">
        <v>15</v>
      </c>
      <c r="K49" s="35">
        <v>15</v>
      </c>
    </row>
    <row r="50" spans="1:11" x14ac:dyDescent="0.25">
      <c r="C50" s="23"/>
      <c r="D50" s="23"/>
      <c r="E50" s="23"/>
      <c r="F50" s="23"/>
      <c r="G50" s="23"/>
      <c r="H50" s="23"/>
      <c r="I50" s="23"/>
      <c r="J50" s="23"/>
      <c r="K50" s="23"/>
    </row>
    <row r="52" spans="1:11" x14ac:dyDescent="0.25">
      <c r="A52" t="s">
        <v>62</v>
      </c>
      <c r="C52" s="7">
        <f>+'IS by Qtr'!B26</f>
        <v>4556</v>
      </c>
      <c r="D52" s="7">
        <f>+'IS by Qtr'!C26</f>
        <v>7567</v>
      </c>
      <c r="E52" s="7">
        <f>+'IS by Qtr'!D26</f>
        <v>6596</v>
      </c>
      <c r="F52" s="7">
        <f>+'IS by Qtr'!E26</f>
        <v>-80</v>
      </c>
      <c r="G52" s="7">
        <f t="shared" ref="G52:J52" si="25">+G18-G21-G24-G27-G30-G33-G37-G40-G43-G46-G49</f>
        <v>6315.9019548387059</v>
      </c>
      <c r="H52" s="7">
        <f t="shared" si="25"/>
        <v>5513.5553104838727</v>
      </c>
      <c r="I52" s="7">
        <f t="shared" si="25"/>
        <v>5794.6975229032214</v>
      </c>
      <c r="J52" s="7">
        <f t="shared" si="25"/>
        <v>5075.8397353225773</v>
      </c>
      <c r="K52" s="7">
        <f>+K18-K21-K24-K27-K30-K33-K37-K40-K43-K46-K49</f>
        <v>6750.3670774290313</v>
      </c>
    </row>
    <row r="53" spans="1:11" x14ac:dyDescent="0.25">
      <c r="A53" t="s">
        <v>63</v>
      </c>
      <c r="C53" s="7">
        <f>+'IS by Qtr'!B27</f>
        <v>1321</v>
      </c>
      <c r="D53" s="7">
        <f>+'IS by Qtr'!C27</f>
        <v>2194</v>
      </c>
      <c r="E53" s="7">
        <f>+'IS by Qtr'!D27</f>
        <v>2527</v>
      </c>
      <c r="F53" s="7">
        <f>+'IS by Qtr'!E27</f>
        <v>-299</v>
      </c>
      <c r="G53" s="7">
        <f t="shared" ref="G53:J53" si="26">+G52*0.31</f>
        <v>1957.9296059999988</v>
      </c>
      <c r="H53" s="7">
        <f t="shared" si="26"/>
        <v>1709.2021462500006</v>
      </c>
      <c r="I53" s="7">
        <f t="shared" si="26"/>
        <v>1796.3562320999986</v>
      </c>
      <c r="J53" s="7">
        <f t="shared" si="26"/>
        <v>1573.510317949999</v>
      </c>
      <c r="K53" s="7">
        <f>+K52*0.31</f>
        <v>2092.6137940029998</v>
      </c>
    </row>
    <row r="54" spans="1:11" x14ac:dyDescent="0.25">
      <c r="A54" t="s">
        <v>64</v>
      </c>
      <c r="C54" s="21">
        <f>+C53/C52</f>
        <v>0.28994732221246705</v>
      </c>
      <c r="D54" s="21">
        <f t="shared" ref="D54:K54" si="27">+D53/D52</f>
        <v>0.28994317430950178</v>
      </c>
      <c r="E54" s="21">
        <f t="shared" si="27"/>
        <v>0.38311097634930263</v>
      </c>
      <c r="F54" s="21">
        <f t="shared" si="27"/>
        <v>3.7374999999999998</v>
      </c>
      <c r="G54" s="21">
        <f t="shared" ref="G54:J54" si="28">+G53/G52</f>
        <v>0.31</v>
      </c>
      <c r="H54" s="21">
        <f t="shared" si="28"/>
        <v>0.31</v>
      </c>
      <c r="I54" s="21">
        <f t="shared" si="28"/>
        <v>0.31</v>
      </c>
      <c r="J54" s="21">
        <f t="shared" si="28"/>
        <v>0.31</v>
      </c>
      <c r="K54" s="21">
        <f t="shared" si="27"/>
        <v>0.31</v>
      </c>
    </row>
    <row r="56" spans="1:11" x14ac:dyDescent="0.25">
      <c r="A56" t="s">
        <v>19</v>
      </c>
      <c r="C56" s="7">
        <f>+'IS by Qtr'!B29</f>
        <v>3235</v>
      </c>
      <c r="D56" s="7">
        <f>+'IS by Qtr'!C29</f>
        <v>5373</v>
      </c>
      <c r="E56" s="7">
        <f>+'IS by Qtr'!D29</f>
        <v>4069</v>
      </c>
      <c r="F56" s="7">
        <f>+'IS by Qtr'!E29</f>
        <v>219</v>
      </c>
      <c r="G56" s="7">
        <f t="shared" ref="G56:J56" si="29">+G52-G53</f>
        <v>4357.9723488387071</v>
      </c>
      <c r="H56" s="7">
        <f t="shared" si="29"/>
        <v>3804.3531642338721</v>
      </c>
      <c r="I56" s="7">
        <f t="shared" si="29"/>
        <v>3998.3412908032228</v>
      </c>
      <c r="J56" s="7">
        <f t="shared" si="29"/>
        <v>3502.3294173725781</v>
      </c>
      <c r="K56" s="7">
        <f>+K52-K53</f>
        <v>4657.753283426031</v>
      </c>
    </row>
    <row r="57" spans="1:11" x14ac:dyDescent="0.25">
      <c r="A57" t="s">
        <v>56</v>
      </c>
      <c r="C57" s="21">
        <f>+C56/C18</f>
        <v>4.8407128641757322E-2</v>
      </c>
      <c r="D57" s="21">
        <f>+D56/D18</f>
        <v>7.1295878559486214E-2</v>
      </c>
      <c r="E57" s="21">
        <f>+E56/E18</f>
        <v>5.5053443377080236E-2</v>
      </c>
      <c r="F57" s="21">
        <f>+F56/F18</f>
        <v>3.0862022801257027E-3</v>
      </c>
      <c r="G57" s="21">
        <f t="shared" ref="G57:J57" si="30">+G56/G18</f>
        <v>5.4518195933193903E-2</v>
      </c>
      <c r="H57" s="21">
        <f t="shared" si="30"/>
        <v>4.568872778909569E-2</v>
      </c>
      <c r="I57" s="21">
        <f t="shared" si="30"/>
        <v>4.6171582657356998E-2</v>
      </c>
      <c r="J57" s="21">
        <f t="shared" si="30"/>
        <v>3.8945875867612924E-2</v>
      </c>
      <c r="K57" s="21">
        <f>+K56/K18</f>
        <v>4.95550271868384E-2</v>
      </c>
    </row>
    <row r="62" spans="1:11" x14ac:dyDescent="0.25">
      <c r="F62" s="9" t="s">
        <v>55</v>
      </c>
      <c r="J62" s="9" t="s">
        <v>55</v>
      </c>
    </row>
    <row r="63" spans="1:11" x14ac:dyDescent="0.25">
      <c r="F63" s="11" t="s">
        <v>34</v>
      </c>
      <c r="J63" s="11" t="s">
        <v>39</v>
      </c>
    </row>
    <row r="64" spans="1:11" x14ac:dyDescent="0.25">
      <c r="A64" t="s">
        <v>52</v>
      </c>
      <c r="F64" s="7">
        <f>SUM(C18:F18)</f>
        <v>287062</v>
      </c>
      <c r="J64" s="7">
        <f>SUM(G18:J18)</f>
        <v>339728.45516129036</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5"/>
  <sheetViews>
    <sheetView workbookViewId="0">
      <selection activeCell="A5" sqref="A5"/>
    </sheetView>
  </sheetViews>
  <sheetFormatPr defaultRowHeight="15" x14ac:dyDescent="0.25"/>
  <cols>
    <col min="1" max="1" width="31.85546875" customWidth="1"/>
    <col min="2" max="2" width="13.28515625" customWidth="1"/>
    <col min="3" max="3" width="17.42578125" customWidth="1"/>
    <col min="4" max="4" width="17.140625" customWidth="1"/>
  </cols>
  <sheetData>
    <row r="2" spans="1:7" x14ac:dyDescent="0.25">
      <c r="G2" s="44" t="s">
        <v>82</v>
      </c>
    </row>
    <row r="3" spans="1:7" x14ac:dyDescent="0.25">
      <c r="A3" t="s">
        <v>80</v>
      </c>
      <c r="B3" s="7">
        <f>+'Comp stores by year'!C13</f>
        <v>80</v>
      </c>
      <c r="C3" s="7">
        <f>+'Comp stores by year'!D13</f>
        <v>69</v>
      </c>
      <c r="D3" s="7">
        <f>+'Comp stores by year'!E13</f>
        <v>59</v>
      </c>
      <c r="G3">
        <v>92</v>
      </c>
    </row>
    <row r="4" spans="1:7" x14ac:dyDescent="0.25">
      <c r="A4" t="s">
        <v>81</v>
      </c>
      <c r="B4" s="7">
        <f>+B13/B3</f>
        <v>4132.6625000000004</v>
      </c>
      <c r="C4" s="7">
        <f t="shared" ref="C4:D4" si="0">+C13/C3</f>
        <v>4160.31884057971</v>
      </c>
      <c r="D4" s="7">
        <f t="shared" si="0"/>
        <v>4154.2542372881353</v>
      </c>
      <c r="G4">
        <v>4133</v>
      </c>
    </row>
    <row r="6" spans="1:7" x14ac:dyDescent="0.25">
      <c r="A6" s="135" t="s">
        <v>24</v>
      </c>
      <c r="B6" s="136" t="s">
        <v>1</v>
      </c>
      <c r="C6" s="1"/>
      <c r="D6" s="1"/>
    </row>
    <row r="7" spans="1:7" x14ac:dyDescent="0.25">
      <c r="A7" s="135" t="s">
        <v>25</v>
      </c>
      <c r="B7" s="136" t="s">
        <v>1</v>
      </c>
      <c r="C7" s="1"/>
      <c r="D7" s="1"/>
    </row>
    <row r="8" spans="1:7" x14ac:dyDescent="0.25">
      <c r="A8" s="135" t="s">
        <v>3</v>
      </c>
      <c r="B8" s="136" t="s">
        <v>1</v>
      </c>
      <c r="C8" s="1"/>
      <c r="D8" s="1"/>
    </row>
    <row r="9" spans="1:7" x14ac:dyDescent="0.25">
      <c r="A9" s="1"/>
      <c r="B9" s="1"/>
      <c r="C9" s="1"/>
      <c r="D9" s="1"/>
    </row>
    <row r="10" spans="1:7" x14ac:dyDescent="0.25">
      <c r="A10" s="2" t="s">
        <v>1</v>
      </c>
      <c r="B10" s="2" t="s">
        <v>1</v>
      </c>
      <c r="C10" s="2" t="s">
        <v>26</v>
      </c>
      <c r="D10" s="1"/>
    </row>
    <row r="11" spans="1:7" x14ac:dyDescent="0.25">
      <c r="A11" s="2" t="s">
        <v>1</v>
      </c>
      <c r="B11" s="2" t="s">
        <v>27</v>
      </c>
      <c r="C11" s="2" t="s">
        <v>28</v>
      </c>
      <c r="D11" s="2" t="s">
        <v>29</v>
      </c>
    </row>
    <row r="12" spans="1:7" x14ac:dyDescent="0.25">
      <c r="A12" s="2" t="s">
        <v>1</v>
      </c>
      <c r="B12" s="2">
        <v>2016</v>
      </c>
      <c r="C12" s="2">
        <v>2015</v>
      </c>
      <c r="D12" s="2">
        <v>2014</v>
      </c>
    </row>
    <row r="13" spans="1:7" x14ac:dyDescent="0.25">
      <c r="A13" s="2" t="s">
        <v>4</v>
      </c>
      <c r="B13" s="3">
        <v>330613</v>
      </c>
      <c r="C13" s="3">
        <v>287062</v>
      </c>
      <c r="D13" s="3">
        <v>245101</v>
      </c>
      <c r="G13">
        <f>+G3*G4</f>
        <v>380236</v>
      </c>
    </row>
    <row r="14" spans="1:7" x14ac:dyDescent="0.25">
      <c r="A14" s="2" t="s">
        <v>5</v>
      </c>
      <c r="B14" s="1"/>
      <c r="C14" s="1"/>
      <c r="D14" s="1"/>
    </row>
    <row r="15" spans="1:7" x14ac:dyDescent="0.25">
      <c r="A15" s="2" t="s">
        <v>6</v>
      </c>
      <c r="B15" s="4">
        <v>85542</v>
      </c>
      <c r="C15" s="4">
        <v>75686</v>
      </c>
      <c r="D15" s="4">
        <v>69159</v>
      </c>
    </row>
    <row r="16" spans="1:7" x14ac:dyDescent="0.25">
      <c r="A16" s="2" t="s">
        <v>7</v>
      </c>
      <c r="B16" s="4">
        <v>110730</v>
      </c>
      <c r="C16" s="4">
        <v>93625</v>
      </c>
      <c r="D16" s="4">
        <v>82665</v>
      </c>
    </row>
    <row r="17" spans="1:4" x14ac:dyDescent="0.25">
      <c r="A17" s="2" t="s">
        <v>8</v>
      </c>
      <c r="B17" s="4">
        <v>45900</v>
      </c>
      <c r="C17" s="4">
        <v>39954</v>
      </c>
      <c r="D17" s="4">
        <v>33897</v>
      </c>
    </row>
    <row r="18" spans="1:4" x14ac:dyDescent="0.25">
      <c r="A18" s="2" t="s">
        <v>9</v>
      </c>
      <c r="B18" s="4">
        <v>22204</v>
      </c>
      <c r="C18" s="4">
        <v>19019</v>
      </c>
      <c r="D18" s="4">
        <v>15167</v>
      </c>
    </row>
    <row r="19" spans="1:4" x14ac:dyDescent="0.25">
      <c r="A19" s="2" t="s">
        <v>10</v>
      </c>
      <c r="B19" s="4">
        <v>17560</v>
      </c>
      <c r="C19" s="4">
        <v>16176</v>
      </c>
      <c r="D19" s="4">
        <v>11693</v>
      </c>
    </row>
    <row r="20" spans="1:4" x14ac:dyDescent="0.25">
      <c r="A20" s="2" t="s">
        <v>11</v>
      </c>
      <c r="B20" s="4">
        <v>2390</v>
      </c>
      <c r="C20" s="4">
        <v>2249</v>
      </c>
      <c r="D20" s="4">
        <v>1719</v>
      </c>
    </row>
    <row r="21" spans="1:4" x14ac:dyDescent="0.25">
      <c r="A21" s="2" t="s">
        <v>12</v>
      </c>
      <c r="B21" s="4">
        <v>5348</v>
      </c>
      <c r="C21" s="4">
        <v>4417</v>
      </c>
      <c r="D21" s="4">
        <v>4539</v>
      </c>
    </row>
    <row r="22" spans="1:4" x14ac:dyDescent="0.25">
      <c r="A22" s="2" t="s">
        <v>30</v>
      </c>
      <c r="B22" s="4">
        <v>1517</v>
      </c>
      <c r="C22" s="4">
        <v>4360</v>
      </c>
      <c r="D22" s="5">
        <v>0</v>
      </c>
    </row>
    <row r="23" spans="1:4" x14ac:dyDescent="0.25">
      <c r="A23" s="2" t="s">
        <v>13</v>
      </c>
      <c r="B23" s="4">
        <v>15081</v>
      </c>
      <c r="C23" s="4">
        <v>12827</v>
      </c>
      <c r="D23" s="4">
        <v>10310</v>
      </c>
    </row>
    <row r="24" spans="1:4" x14ac:dyDescent="0.25">
      <c r="A24" s="2" t="s">
        <v>14</v>
      </c>
      <c r="B24" s="4">
        <v>306272</v>
      </c>
      <c r="C24" s="4">
        <v>268313</v>
      </c>
      <c r="D24" s="4">
        <v>229149</v>
      </c>
    </row>
    <row r="25" spans="1:4" x14ac:dyDescent="0.25">
      <c r="A25" s="2" t="s">
        <v>15</v>
      </c>
      <c r="B25" s="4">
        <v>24341</v>
      </c>
      <c r="C25" s="4">
        <v>18749</v>
      </c>
      <c r="D25" s="4">
        <v>15952</v>
      </c>
    </row>
    <row r="26" spans="1:4" x14ac:dyDescent="0.25">
      <c r="A26" s="2" t="s">
        <v>16</v>
      </c>
      <c r="B26" s="4">
        <v>63</v>
      </c>
      <c r="C26" s="4">
        <v>110</v>
      </c>
      <c r="D26" s="4">
        <v>124</v>
      </c>
    </row>
    <row r="27" spans="1:4" x14ac:dyDescent="0.25">
      <c r="A27" s="2" t="s">
        <v>17</v>
      </c>
      <c r="B27" s="4">
        <v>24278</v>
      </c>
      <c r="C27" s="4">
        <v>18639</v>
      </c>
      <c r="D27" s="4">
        <v>15828</v>
      </c>
    </row>
    <row r="28" spans="1:4" x14ac:dyDescent="0.25">
      <c r="A28" s="2" t="s">
        <v>18</v>
      </c>
      <c r="B28" s="4">
        <v>7034</v>
      </c>
      <c r="C28" s="4">
        <v>5743</v>
      </c>
      <c r="D28" s="4">
        <v>4337</v>
      </c>
    </row>
    <row r="29" spans="1:4" x14ac:dyDescent="0.25">
      <c r="A29" s="2" t="s">
        <v>19</v>
      </c>
      <c r="B29" s="3">
        <v>17244</v>
      </c>
      <c r="C29" s="3">
        <v>12896</v>
      </c>
      <c r="D29" s="3">
        <v>11491</v>
      </c>
    </row>
    <row r="30" spans="1:4" x14ac:dyDescent="0.25">
      <c r="A30" s="2" t="s">
        <v>20</v>
      </c>
      <c r="B30" s="1"/>
      <c r="C30" s="1"/>
      <c r="D30" s="1"/>
    </row>
    <row r="31" spans="1:4" x14ac:dyDescent="0.25">
      <c r="A31" s="2" t="s">
        <v>21</v>
      </c>
      <c r="B31" s="6">
        <v>1.03</v>
      </c>
      <c r="C31" s="6">
        <v>0.78</v>
      </c>
      <c r="D31" s="6">
        <v>0.7</v>
      </c>
    </row>
    <row r="32" spans="1:4" x14ac:dyDescent="0.25">
      <c r="A32" s="2" t="s">
        <v>22</v>
      </c>
      <c r="B32" s="6">
        <v>1.02</v>
      </c>
      <c r="C32" s="6">
        <v>0.77</v>
      </c>
      <c r="D32" s="6">
        <v>0.69</v>
      </c>
    </row>
    <row r="33" spans="1:4" x14ac:dyDescent="0.25">
      <c r="A33" s="2" t="s">
        <v>23</v>
      </c>
      <c r="B33" s="1"/>
      <c r="C33" s="1"/>
      <c r="D33" s="1"/>
    </row>
    <row r="34" spans="1:4" x14ac:dyDescent="0.25">
      <c r="A34" s="2" t="s">
        <v>21</v>
      </c>
      <c r="B34" s="4">
        <v>16676073</v>
      </c>
      <c r="C34" s="4">
        <v>16470278</v>
      </c>
      <c r="D34" s="4">
        <v>16427732</v>
      </c>
    </row>
    <row r="35" spans="1:4" x14ac:dyDescent="0.25">
      <c r="A35" s="2" t="s">
        <v>22</v>
      </c>
      <c r="B35" s="4">
        <v>16887882</v>
      </c>
      <c r="C35" s="4">
        <v>16739387</v>
      </c>
      <c r="D35" s="4">
        <v>16709471</v>
      </c>
    </row>
  </sheetData>
  <mergeCells count="3">
    <mergeCell ref="A6:B6"/>
    <mergeCell ref="A7:B7"/>
    <mergeCell ref="A8:B8"/>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F22" sqref="F22"/>
    </sheetView>
  </sheetViews>
  <sheetFormatPr defaultColWidth="21.7109375" defaultRowHeight="12.75" outlineLevelCol="7" x14ac:dyDescent="0.25"/>
  <cols>
    <col min="1" max="1" width="3" style="36" customWidth="1" outlineLevel="7"/>
    <col min="2" max="2" width="52" style="36" customWidth="1" outlineLevel="7"/>
    <col min="3" max="5" width="15" style="36" customWidth="1" outlineLevel="7"/>
    <col min="6" max="256" width="21.7109375" style="36"/>
    <col min="257" max="257" width="3" style="36" customWidth="1"/>
    <col min="258" max="258" width="52" style="36" customWidth="1"/>
    <col min="259" max="261" width="15" style="36" customWidth="1"/>
    <col min="262" max="512" width="21.7109375" style="36"/>
    <col min="513" max="513" width="3" style="36" customWidth="1"/>
    <col min="514" max="514" width="52" style="36" customWidth="1"/>
    <col min="515" max="517" width="15" style="36" customWidth="1"/>
    <col min="518" max="768" width="21.7109375" style="36"/>
    <col min="769" max="769" width="3" style="36" customWidth="1"/>
    <col min="770" max="770" width="52" style="36" customWidth="1"/>
    <col min="771" max="773" width="15" style="36" customWidth="1"/>
    <col min="774" max="1024" width="21.7109375" style="36"/>
    <col min="1025" max="1025" width="3" style="36" customWidth="1"/>
    <col min="1026" max="1026" width="52" style="36" customWidth="1"/>
    <col min="1027" max="1029" width="15" style="36" customWidth="1"/>
    <col min="1030" max="1280" width="21.7109375" style="36"/>
    <col min="1281" max="1281" width="3" style="36" customWidth="1"/>
    <col min="1282" max="1282" width="52" style="36" customWidth="1"/>
    <col min="1283" max="1285" width="15" style="36" customWidth="1"/>
    <col min="1286" max="1536" width="21.7109375" style="36"/>
    <col min="1537" max="1537" width="3" style="36" customWidth="1"/>
    <col min="1538" max="1538" width="52" style="36" customWidth="1"/>
    <col min="1539" max="1541" width="15" style="36" customWidth="1"/>
    <col min="1542" max="1792" width="21.7109375" style="36"/>
    <col min="1793" max="1793" width="3" style="36" customWidth="1"/>
    <col min="1794" max="1794" width="52" style="36" customWidth="1"/>
    <col min="1795" max="1797" width="15" style="36" customWidth="1"/>
    <col min="1798" max="2048" width="21.7109375" style="36"/>
    <col min="2049" max="2049" width="3" style="36" customWidth="1"/>
    <col min="2050" max="2050" width="52" style="36" customWidth="1"/>
    <col min="2051" max="2053" width="15" style="36" customWidth="1"/>
    <col min="2054" max="2304" width="21.7109375" style="36"/>
    <col min="2305" max="2305" width="3" style="36" customWidth="1"/>
    <col min="2306" max="2306" width="52" style="36" customWidth="1"/>
    <col min="2307" max="2309" width="15" style="36" customWidth="1"/>
    <col min="2310" max="2560" width="21.7109375" style="36"/>
    <col min="2561" max="2561" width="3" style="36" customWidth="1"/>
    <col min="2562" max="2562" width="52" style="36" customWidth="1"/>
    <col min="2563" max="2565" width="15" style="36" customWidth="1"/>
    <col min="2566" max="2816" width="21.7109375" style="36"/>
    <col min="2817" max="2817" width="3" style="36" customWidth="1"/>
    <col min="2818" max="2818" width="52" style="36" customWidth="1"/>
    <col min="2819" max="2821" width="15" style="36" customWidth="1"/>
    <col min="2822" max="3072" width="21.7109375" style="36"/>
    <col min="3073" max="3073" width="3" style="36" customWidth="1"/>
    <col min="3074" max="3074" width="52" style="36" customWidth="1"/>
    <col min="3075" max="3077" width="15" style="36" customWidth="1"/>
    <col min="3078" max="3328" width="21.7109375" style="36"/>
    <col min="3329" max="3329" width="3" style="36" customWidth="1"/>
    <col min="3330" max="3330" width="52" style="36" customWidth="1"/>
    <col min="3331" max="3333" width="15" style="36" customWidth="1"/>
    <col min="3334" max="3584" width="21.7109375" style="36"/>
    <col min="3585" max="3585" width="3" style="36" customWidth="1"/>
    <col min="3586" max="3586" width="52" style="36" customWidth="1"/>
    <col min="3587" max="3589" width="15" style="36" customWidth="1"/>
    <col min="3590" max="3840" width="21.7109375" style="36"/>
    <col min="3841" max="3841" width="3" style="36" customWidth="1"/>
    <col min="3842" max="3842" width="52" style="36" customWidth="1"/>
    <col min="3843" max="3845" width="15" style="36" customWidth="1"/>
    <col min="3846" max="4096" width="21.7109375" style="36"/>
    <col min="4097" max="4097" width="3" style="36" customWidth="1"/>
    <col min="4098" max="4098" width="52" style="36" customWidth="1"/>
    <col min="4099" max="4101" width="15" style="36" customWidth="1"/>
    <col min="4102" max="4352" width="21.7109375" style="36"/>
    <col min="4353" max="4353" width="3" style="36" customWidth="1"/>
    <col min="4354" max="4354" width="52" style="36" customWidth="1"/>
    <col min="4355" max="4357" width="15" style="36" customWidth="1"/>
    <col min="4358" max="4608" width="21.7109375" style="36"/>
    <col min="4609" max="4609" width="3" style="36" customWidth="1"/>
    <col min="4610" max="4610" width="52" style="36" customWidth="1"/>
    <col min="4611" max="4613" width="15" style="36" customWidth="1"/>
    <col min="4614" max="4864" width="21.7109375" style="36"/>
    <col min="4865" max="4865" width="3" style="36" customWidth="1"/>
    <col min="4866" max="4866" width="52" style="36" customWidth="1"/>
    <col min="4867" max="4869" width="15" style="36" customWidth="1"/>
    <col min="4870" max="5120" width="21.7109375" style="36"/>
    <col min="5121" max="5121" width="3" style="36" customWidth="1"/>
    <col min="5122" max="5122" width="52" style="36" customWidth="1"/>
    <col min="5123" max="5125" width="15" style="36" customWidth="1"/>
    <col min="5126" max="5376" width="21.7109375" style="36"/>
    <col min="5377" max="5377" width="3" style="36" customWidth="1"/>
    <col min="5378" max="5378" width="52" style="36" customWidth="1"/>
    <col min="5379" max="5381" width="15" style="36" customWidth="1"/>
    <col min="5382" max="5632" width="21.7109375" style="36"/>
    <col min="5633" max="5633" width="3" style="36" customWidth="1"/>
    <col min="5634" max="5634" width="52" style="36" customWidth="1"/>
    <col min="5635" max="5637" width="15" style="36" customWidth="1"/>
    <col min="5638" max="5888" width="21.7109375" style="36"/>
    <col min="5889" max="5889" width="3" style="36" customWidth="1"/>
    <col min="5890" max="5890" width="52" style="36" customWidth="1"/>
    <col min="5891" max="5893" width="15" style="36" customWidth="1"/>
    <col min="5894" max="6144" width="21.7109375" style="36"/>
    <col min="6145" max="6145" width="3" style="36" customWidth="1"/>
    <col min="6146" max="6146" width="52" style="36" customWidth="1"/>
    <col min="6147" max="6149" width="15" style="36" customWidth="1"/>
    <col min="6150" max="6400" width="21.7109375" style="36"/>
    <col min="6401" max="6401" width="3" style="36" customWidth="1"/>
    <col min="6402" max="6402" width="52" style="36" customWidth="1"/>
    <col min="6403" max="6405" width="15" style="36" customWidth="1"/>
    <col min="6406" max="6656" width="21.7109375" style="36"/>
    <col min="6657" max="6657" width="3" style="36" customWidth="1"/>
    <col min="6658" max="6658" width="52" style="36" customWidth="1"/>
    <col min="6659" max="6661" width="15" style="36" customWidth="1"/>
    <col min="6662" max="6912" width="21.7109375" style="36"/>
    <col min="6913" max="6913" width="3" style="36" customWidth="1"/>
    <col min="6914" max="6914" width="52" style="36" customWidth="1"/>
    <col min="6915" max="6917" width="15" style="36" customWidth="1"/>
    <col min="6918" max="7168" width="21.7109375" style="36"/>
    <col min="7169" max="7169" width="3" style="36" customWidth="1"/>
    <col min="7170" max="7170" width="52" style="36" customWidth="1"/>
    <col min="7171" max="7173" width="15" style="36" customWidth="1"/>
    <col min="7174" max="7424" width="21.7109375" style="36"/>
    <col min="7425" max="7425" width="3" style="36" customWidth="1"/>
    <col min="7426" max="7426" width="52" style="36" customWidth="1"/>
    <col min="7427" max="7429" width="15" style="36" customWidth="1"/>
    <col min="7430" max="7680" width="21.7109375" style="36"/>
    <col min="7681" max="7681" width="3" style="36" customWidth="1"/>
    <col min="7682" max="7682" width="52" style="36" customWidth="1"/>
    <col min="7683" max="7685" width="15" style="36" customWidth="1"/>
    <col min="7686" max="7936" width="21.7109375" style="36"/>
    <col min="7937" max="7937" width="3" style="36" customWidth="1"/>
    <col min="7938" max="7938" width="52" style="36" customWidth="1"/>
    <col min="7939" max="7941" width="15" style="36" customWidth="1"/>
    <col min="7942" max="8192" width="21.7109375" style="36"/>
    <col min="8193" max="8193" width="3" style="36" customWidth="1"/>
    <col min="8194" max="8194" width="52" style="36" customWidth="1"/>
    <col min="8195" max="8197" width="15" style="36" customWidth="1"/>
    <col min="8198" max="8448" width="21.7109375" style="36"/>
    <col min="8449" max="8449" width="3" style="36" customWidth="1"/>
    <col min="8450" max="8450" width="52" style="36" customWidth="1"/>
    <col min="8451" max="8453" width="15" style="36" customWidth="1"/>
    <col min="8454" max="8704" width="21.7109375" style="36"/>
    <col min="8705" max="8705" width="3" style="36" customWidth="1"/>
    <col min="8706" max="8706" width="52" style="36" customWidth="1"/>
    <col min="8707" max="8709" width="15" style="36" customWidth="1"/>
    <col min="8710" max="8960" width="21.7109375" style="36"/>
    <col min="8961" max="8961" width="3" style="36" customWidth="1"/>
    <col min="8962" max="8962" width="52" style="36" customWidth="1"/>
    <col min="8963" max="8965" width="15" style="36" customWidth="1"/>
    <col min="8966" max="9216" width="21.7109375" style="36"/>
    <col min="9217" max="9217" width="3" style="36" customWidth="1"/>
    <col min="9218" max="9218" width="52" style="36" customWidth="1"/>
    <col min="9219" max="9221" width="15" style="36" customWidth="1"/>
    <col min="9222" max="9472" width="21.7109375" style="36"/>
    <col min="9473" max="9473" width="3" style="36" customWidth="1"/>
    <col min="9474" max="9474" width="52" style="36" customWidth="1"/>
    <col min="9475" max="9477" width="15" style="36" customWidth="1"/>
    <col min="9478" max="9728" width="21.7109375" style="36"/>
    <col min="9729" max="9729" width="3" style="36" customWidth="1"/>
    <col min="9730" max="9730" width="52" style="36" customWidth="1"/>
    <col min="9731" max="9733" width="15" style="36" customWidth="1"/>
    <col min="9734" max="9984" width="21.7109375" style="36"/>
    <col min="9985" max="9985" width="3" style="36" customWidth="1"/>
    <col min="9986" max="9986" width="52" style="36" customWidth="1"/>
    <col min="9987" max="9989" width="15" style="36" customWidth="1"/>
    <col min="9990" max="10240" width="21.7109375" style="36"/>
    <col min="10241" max="10241" width="3" style="36" customWidth="1"/>
    <col min="10242" max="10242" width="52" style="36" customWidth="1"/>
    <col min="10243" max="10245" width="15" style="36" customWidth="1"/>
    <col min="10246" max="10496" width="21.7109375" style="36"/>
    <col min="10497" max="10497" width="3" style="36" customWidth="1"/>
    <col min="10498" max="10498" width="52" style="36" customWidth="1"/>
    <col min="10499" max="10501" width="15" style="36" customWidth="1"/>
    <col min="10502" max="10752" width="21.7109375" style="36"/>
    <col min="10753" max="10753" width="3" style="36" customWidth="1"/>
    <col min="10754" max="10754" width="52" style="36" customWidth="1"/>
    <col min="10755" max="10757" width="15" style="36" customWidth="1"/>
    <col min="10758" max="11008" width="21.7109375" style="36"/>
    <col min="11009" max="11009" width="3" style="36" customWidth="1"/>
    <col min="11010" max="11010" width="52" style="36" customWidth="1"/>
    <col min="11011" max="11013" width="15" style="36" customWidth="1"/>
    <col min="11014" max="11264" width="21.7109375" style="36"/>
    <col min="11265" max="11265" width="3" style="36" customWidth="1"/>
    <col min="11266" max="11266" width="52" style="36" customWidth="1"/>
    <col min="11267" max="11269" width="15" style="36" customWidth="1"/>
    <col min="11270" max="11520" width="21.7109375" style="36"/>
    <col min="11521" max="11521" width="3" style="36" customWidth="1"/>
    <col min="11522" max="11522" width="52" style="36" customWidth="1"/>
    <col min="11523" max="11525" width="15" style="36" customWidth="1"/>
    <col min="11526" max="11776" width="21.7109375" style="36"/>
    <col min="11777" max="11777" width="3" style="36" customWidth="1"/>
    <col min="11778" max="11778" width="52" style="36" customWidth="1"/>
    <col min="11779" max="11781" width="15" style="36" customWidth="1"/>
    <col min="11782" max="12032" width="21.7109375" style="36"/>
    <col min="12033" max="12033" width="3" style="36" customWidth="1"/>
    <col min="12034" max="12034" width="52" style="36" customWidth="1"/>
    <col min="12035" max="12037" width="15" style="36" customWidth="1"/>
    <col min="12038" max="12288" width="21.7109375" style="36"/>
    <col min="12289" max="12289" width="3" style="36" customWidth="1"/>
    <col min="12290" max="12290" width="52" style="36" customWidth="1"/>
    <col min="12291" max="12293" width="15" style="36" customWidth="1"/>
    <col min="12294" max="12544" width="21.7109375" style="36"/>
    <col min="12545" max="12545" width="3" style="36" customWidth="1"/>
    <col min="12546" max="12546" width="52" style="36" customWidth="1"/>
    <col min="12547" max="12549" width="15" style="36" customWidth="1"/>
    <col min="12550" max="12800" width="21.7109375" style="36"/>
    <col min="12801" max="12801" width="3" style="36" customWidth="1"/>
    <col min="12802" max="12802" width="52" style="36" customWidth="1"/>
    <col min="12803" max="12805" width="15" style="36" customWidth="1"/>
    <col min="12806" max="13056" width="21.7109375" style="36"/>
    <col min="13057" max="13057" width="3" style="36" customWidth="1"/>
    <col min="13058" max="13058" width="52" style="36" customWidth="1"/>
    <col min="13059" max="13061" width="15" style="36" customWidth="1"/>
    <col min="13062" max="13312" width="21.7109375" style="36"/>
    <col min="13313" max="13313" width="3" style="36" customWidth="1"/>
    <col min="13314" max="13314" width="52" style="36" customWidth="1"/>
    <col min="13315" max="13317" width="15" style="36" customWidth="1"/>
    <col min="13318" max="13568" width="21.7109375" style="36"/>
    <col min="13569" max="13569" width="3" style="36" customWidth="1"/>
    <col min="13570" max="13570" width="52" style="36" customWidth="1"/>
    <col min="13571" max="13573" width="15" style="36" customWidth="1"/>
    <col min="13574" max="13824" width="21.7109375" style="36"/>
    <col min="13825" max="13825" width="3" style="36" customWidth="1"/>
    <col min="13826" max="13826" width="52" style="36" customWidth="1"/>
    <col min="13827" max="13829" width="15" style="36" customWidth="1"/>
    <col min="13830" max="14080" width="21.7109375" style="36"/>
    <col min="14081" max="14081" width="3" style="36" customWidth="1"/>
    <col min="14082" max="14082" width="52" style="36" customWidth="1"/>
    <col min="14083" max="14085" width="15" style="36" customWidth="1"/>
    <col min="14086" max="14336" width="21.7109375" style="36"/>
    <col min="14337" max="14337" width="3" style="36" customWidth="1"/>
    <col min="14338" max="14338" width="52" style="36" customWidth="1"/>
    <col min="14339" max="14341" width="15" style="36" customWidth="1"/>
    <col min="14342" max="14592" width="21.7109375" style="36"/>
    <col min="14593" max="14593" width="3" style="36" customWidth="1"/>
    <col min="14594" max="14594" width="52" style="36" customWidth="1"/>
    <col min="14595" max="14597" width="15" style="36" customWidth="1"/>
    <col min="14598" max="14848" width="21.7109375" style="36"/>
    <col min="14849" max="14849" width="3" style="36" customWidth="1"/>
    <col min="14850" max="14850" width="52" style="36" customWidth="1"/>
    <col min="14851" max="14853" width="15" style="36" customWidth="1"/>
    <col min="14854" max="15104" width="21.7109375" style="36"/>
    <col min="15105" max="15105" width="3" style="36" customWidth="1"/>
    <col min="15106" max="15106" width="52" style="36" customWidth="1"/>
    <col min="15107" max="15109" width="15" style="36" customWidth="1"/>
    <col min="15110" max="15360" width="21.7109375" style="36"/>
    <col min="15361" max="15361" width="3" style="36" customWidth="1"/>
    <col min="15362" max="15362" width="52" style="36" customWidth="1"/>
    <col min="15363" max="15365" width="15" style="36" customWidth="1"/>
    <col min="15366" max="15616" width="21.7109375" style="36"/>
    <col min="15617" max="15617" width="3" style="36" customWidth="1"/>
    <col min="15618" max="15618" width="52" style="36" customWidth="1"/>
    <col min="15619" max="15621" width="15" style="36" customWidth="1"/>
    <col min="15622" max="15872" width="21.7109375" style="36"/>
    <col min="15873" max="15873" width="3" style="36" customWidth="1"/>
    <col min="15874" max="15874" width="52" style="36" customWidth="1"/>
    <col min="15875" max="15877" width="15" style="36" customWidth="1"/>
    <col min="15878" max="16128" width="21.7109375" style="36"/>
    <col min="16129" max="16129" width="3" style="36" customWidth="1"/>
    <col min="16130" max="16130" width="52" style="36" customWidth="1"/>
    <col min="16131" max="16133" width="15" style="36" customWidth="1"/>
    <col min="16134" max="16384" width="21.7109375" style="36"/>
  </cols>
  <sheetData>
    <row r="1" spans="1:5" x14ac:dyDescent="0.25">
      <c r="A1" s="137" t="s">
        <v>72</v>
      </c>
      <c r="B1" s="138"/>
      <c r="C1" s="138"/>
      <c r="D1" s="138"/>
      <c r="E1" s="138"/>
    </row>
    <row r="2" spans="1:5" x14ac:dyDescent="0.25">
      <c r="A2" s="137" t="s">
        <v>1</v>
      </c>
      <c r="B2" s="138"/>
      <c r="C2" s="138"/>
      <c r="D2" s="138"/>
      <c r="E2" s="138"/>
    </row>
    <row r="3" spans="1:5" x14ac:dyDescent="0.25">
      <c r="A3" s="137" t="s">
        <v>24</v>
      </c>
      <c r="B3" s="138"/>
      <c r="C3" s="138"/>
      <c r="D3" s="138"/>
      <c r="E3" s="138"/>
    </row>
    <row r="4" spans="1:5" x14ac:dyDescent="0.25">
      <c r="A4" s="137" t="s">
        <v>73</v>
      </c>
      <c r="B4" s="138"/>
      <c r="C4" s="138"/>
      <c r="D4" s="138"/>
      <c r="E4" s="138"/>
    </row>
    <row r="5" spans="1:5" x14ac:dyDescent="0.25">
      <c r="A5" s="137" t="s">
        <v>74</v>
      </c>
      <c r="B5" s="138"/>
      <c r="C5" s="138"/>
      <c r="D5" s="138"/>
      <c r="E5" s="138"/>
    </row>
    <row r="6" spans="1:5" x14ac:dyDescent="0.25">
      <c r="A6" s="137" t="s">
        <v>75</v>
      </c>
      <c r="B6" s="138"/>
      <c r="C6" s="138"/>
      <c r="D6" s="138"/>
      <c r="E6" s="138"/>
    </row>
    <row r="7" spans="1:5" x14ac:dyDescent="0.25">
      <c r="A7" s="137" t="s">
        <v>76</v>
      </c>
      <c r="B7" s="138"/>
      <c r="C7" s="138"/>
      <c r="D7" s="138"/>
      <c r="E7" s="138"/>
    </row>
    <row r="8" spans="1:5" x14ac:dyDescent="0.25">
      <c r="A8" s="139" t="s">
        <v>77</v>
      </c>
      <c r="B8" s="138"/>
      <c r="C8" s="138"/>
      <c r="D8" s="138"/>
      <c r="E8" s="138"/>
    </row>
    <row r="9" spans="1:5" x14ac:dyDescent="0.25">
      <c r="A9" s="137" t="s">
        <v>1</v>
      </c>
      <c r="B9" s="138"/>
      <c r="C9" s="138"/>
      <c r="D9" s="138"/>
      <c r="E9" s="138"/>
    </row>
    <row r="10" spans="1:5" x14ac:dyDescent="0.25">
      <c r="B10" s="37" t="s">
        <v>1</v>
      </c>
      <c r="C10" s="37" t="s">
        <v>1</v>
      </c>
      <c r="D10" s="37" t="s">
        <v>78</v>
      </c>
    </row>
    <row r="11" spans="1:5" x14ac:dyDescent="0.25">
      <c r="B11" s="37" t="s">
        <v>1</v>
      </c>
      <c r="C11" s="37" t="s">
        <v>27</v>
      </c>
      <c r="D11" s="37" t="s">
        <v>28</v>
      </c>
      <c r="E11" s="37" t="s">
        <v>29</v>
      </c>
    </row>
    <row r="12" spans="1:5" x14ac:dyDescent="0.25">
      <c r="B12" s="37" t="s">
        <v>1</v>
      </c>
      <c r="C12" s="37">
        <v>2016</v>
      </c>
      <c r="D12" s="37">
        <v>2015</v>
      </c>
      <c r="E12" s="37">
        <v>2014</v>
      </c>
    </row>
    <row r="13" spans="1:5" x14ac:dyDescent="0.25">
      <c r="B13" s="37" t="s">
        <v>40</v>
      </c>
      <c r="C13" s="38">
        <v>80</v>
      </c>
      <c r="D13" s="38">
        <v>69</v>
      </c>
      <c r="E13" s="38">
        <v>59</v>
      </c>
    </row>
    <row r="14" spans="1:5" x14ac:dyDescent="0.25">
      <c r="B14" s="37" t="s">
        <v>41</v>
      </c>
      <c r="C14" s="38">
        <v>61</v>
      </c>
      <c r="D14" s="38">
        <v>51</v>
      </c>
      <c r="E14" s="38">
        <v>41</v>
      </c>
    </row>
    <row r="15" spans="1:5" x14ac:dyDescent="0.25">
      <c r="B15" s="37" t="s">
        <v>42</v>
      </c>
      <c r="C15" s="39">
        <v>4581</v>
      </c>
      <c r="D15" s="39">
        <v>4729</v>
      </c>
      <c r="E15" s="39">
        <v>4868</v>
      </c>
    </row>
    <row r="16" spans="1:5" x14ac:dyDescent="0.25">
      <c r="B16" s="37" t="s">
        <v>43</v>
      </c>
      <c r="C16" s="40">
        <v>8.0000000000000002E-3</v>
      </c>
      <c r="D16" s="40">
        <v>3.1E-2</v>
      </c>
      <c r="E16" s="40">
        <v>3.3000000000000002E-2</v>
      </c>
    </row>
    <row r="17" spans="2:5" x14ac:dyDescent="0.25">
      <c r="B17" s="37" t="s">
        <v>44</v>
      </c>
      <c r="C17" s="41">
        <v>14.48</v>
      </c>
      <c r="D17" s="41">
        <v>14.23</v>
      </c>
      <c r="E17" s="41">
        <v>13.71</v>
      </c>
    </row>
    <row r="21" spans="2:5" x14ac:dyDescent="0.25">
      <c r="B21" s="36" t="s">
        <v>83</v>
      </c>
      <c r="C21" s="45">
        <f>+C17/D17-1</f>
        <v>1.7568517217146917E-2</v>
      </c>
      <c r="D21" s="45">
        <f>+D17/E17-1</f>
        <v>3.7928519328956911E-2</v>
      </c>
    </row>
  </sheetData>
  <mergeCells count="9">
    <mergeCell ref="A7:E7"/>
    <mergeCell ref="A8:E8"/>
    <mergeCell ref="A9:E9"/>
    <mergeCell ref="A1:E1"/>
    <mergeCell ref="A2:E2"/>
    <mergeCell ref="A3:E3"/>
    <mergeCell ref="A4:E4"/>
    <mergeCell ref="A5:E5"/>
    <mergeCell ref="A6:E6"/>
  </mergeCells>
  <hyperlinks>
    <hyperlink ref="A8" location="Table_Of_Contents!A1" display="Table Of Contents"/>
  </hyperlink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workbookViewId="0">
      <selection activeCell="S41" sqref="S41"/>
    </sheetView>
  </sheetViews>
  <sheetFormatPr defaultRowHeight="15" x14ac:dyDescent="0.25"/>
  <cols>
    <col min="1" max="1" width="22.28515625" customWidth="1"/>
    <col min="5" max="5" width="12.5703125" customWidth="1"/>
    <col min="6" max="6" width="13.28515625" customWidth="1"/>
    <col min="7" max="7" width="13.140625" customWidth="1"/>
    <col min="12" max="12" width="23.7109375" customWidth="1"/>
    <col min="16" max="16" width="13.140625" customWidth="1"/>
    <col min="17" max="17" width="12.85546875" customWidth="1"/>
    <col min="18" max="18" width="12.7109375" customWidth="1"/>
  </cols>
  <sheetData>
    <row r="1" spans="1:18" x14ac:dyDescent="0.25">
      <c r="A1" s="46" t="s">
        <v>0</v>
      </c>
    </row>
    <row r="2" spans="1:18" x14ac:dyDescent="0.25">
      <c r="A2" t="s">
        <v>244</v>
      </c>
    </row>
    <row r="3" spans="1:18" ht="23.25" x14ac:dyDescent="0.35">
      <c r="A3" s="46" t="s">
        <v>166</v>
      </c>
      <c r="O3" s="134" t="s">
        <v>268</v>
      </c>
    </row>
    <row r="8" spans="1:18" ht="18.75" x14ac:dyDescent="0.3">
      <c r="A8" s="130" t="s">
        <v>248</v>
      </c>
      <c r="E8" s="10" t="s">
        <v>249</v>
      </c>
      <c r="F8" s="10" t="s">
        <v>252</v>
      </c>
      <c r="G8" s="10" t="s">
        <v>227</v>
      </c>
      <c r="L8" s="130" t="s">
        <v>248</v>
      </c>
      <c r="P8" s="10" t="s">
        <v>249</v>
      </c>
      <c r="Q8" s="10" t="s">
        <v>252</v>
      </c>
      <c r="R8" s="10" t="s">
        <v>227</v>
      </c>
    </row>
    <row r="9" spans="1:18" x14ac:dyDescent="0.25">
      <c r="E9" s="10" t="s">
        <v>250</v>
      </c>
      <c r="F9" s="10" t="s">
        <v>253</v>
      </c>
      <c r="G9" s="10" t="s">
        <v>255</v>
      </c>
      <c r="P9" s="10" t="s">
        <v>250</v>
      </c>
      <c r="Q9" s="10" t="s">
        <v>253</v>
      </c>
      <c r="R9" s="10" t="s">
        <v>255</v>
      </c>
    </row>
    <row r="10" spans="1:18" x14ac:dyDescent="0.25">
      <c r="A10" s="73" t="s">
        <v>166</v>
      </c>
      <c r="B10" s="129"/>
      <c r="C10" s="129"/>
      <c r="D10" s="129"/>
      <c r="E10" s="107" t="s">
        <v>251</v>
      </c>
      <c r="F10" s="107" t="s">
        <v>254</v>
      </c>
      <c r="G10" s="107" t="s">
        <v>52</v>
      </c>
      <c r="L10" s="73" t="s">
        <v>166</v>
      </c>
      <c r="M10" s="129"/>
      <c r="N10" s="129"/>
      <c r="O10" s="129"/>
      <c r="P10" s="107" t="s">
        <v>251</v>
      </c>
      <c r="Q10" s="107" t="s">
        <v>254</v>
      </c>
      <c r="R10" s="107" t="s">
        <v>52</v>
      </c>
    </row>
    <row r="12" spans="1:18" x14ac:dyDescent="0.25">
      <c r="A12" t="s">
        <v>236</v>
      </c>
      <c r="E12" s="7">
        <f>+'Forecast - Summary Assumptions'!F56</f>
        <v>32.070123025323774</v>
      </c>
      <c r="F12" s="106">
        <f>+'Forecast - Summary Assumptions'!F53</f>
        <v>25008</v>
      </c>
      <c r="G12" s="106">
        <f>+'Forecast - Summary Assumptions'!F55</f>
        <v>779.79120879120876</v>
      </c>
      <c r="L12" t="s">
        <v>236</v>
      </c>
      <c r="P12" s="7">
        <f>+E12</f>
        <v>32.070123025323774</v>
      </c>
      <c r="Q12" s="106">
        <f>+F12</f>
        <v>25008</v>
      </c>
      <c r="R12" s="106">
        <f>+G12</f>
        <v>779.79120879120876</v>
      </c>
    </row>
    <row r="13" spans="1:18" x14ac:dyDescent="0.25">
      <c r="E13" s="7"/>
      <c r="F13" s="106"/>
      <c r="G13" s="106"/>
      <c r="P13" s="7"/>
      <c r="Q13" s="106"/>
      <c r="R13" s="106"/>
    </row>
    <row r="14" spans="1:18" x14ac:dyDescent="0.25">
      <c r="A14" t="s">
        <v>231</v>
      </c>
      <c r="E14" s="7">
        <f>+'Forecast - Summary Assumptions'!G56</f>
        <v>24.814154303430961</v>
      </c>
      <c r="F14" s="106">
        <f>+'Forecast - Summary Assumptions'!G53</f>
        <v>21284</v>
      </c>
      <c r="G14" s="106">
        <f>+'Forecast - Summary Assumptions'!G55</f>
        <v>857.73626373626371</v>
      </c>
      <c r="L14" t="s">
        <v>231</v>
      </c>
      <c r="P14" s="7">
        <f>+E14</f>
        <v>24.814154303430961</v>
      </c>
      <c r="Q14" s="106">
        <f>+F14</f>
        <v>21284</v>
      </c>
      <c r="R14" s="106">
        <f>+G14</f>
        <v>857.73626373626371</v>
      </c>
    </row>
    <row r="15" spans="1:18" x14ac:dyDescent="0.25">
      <c r="E15" s="7"/>
      <c r="F15" s="106"/>
      <c r="G15" s="106"/>
      <c r="P15" s="7"/>
      <c r="Q15" s="106"/>
      <c r="R15" s="106"/>
    </row>
    <row r="16" spans="1:18" x14ac:dyDescent="0.25">
      <c r="A16" t="s">
        <v>235</v>
      </c>
      <c r="E16" s="7">
        <f>+'Forecast - Summary Assumptions'!H56</f>
        <v>31.002047571920965</v>
      </c>
      <c r="F16" s="106">
        <f>+'Forecast - Summary Assumptions'!H53</f>
        <v>29949</v>
      </c>
      <c r="G16" s="106">
        <f>+'Forecast - Summary Assumptions'!H55</f>
        <v>966.03296703296701</v>
      </c>
      <c r="L16" t="s">
        <v>235</v>
      </c>
      <c r="P16" s="7">
        <f>+E16</f>
        <v>31.002047571920965</v>
      </c>
      <c r="Q16" s="106">
        <f>+F16</f>
        <v>29949</v>
      </c>
      <c r="R16" s="106">
        <f>+G16</f>
        <v>966.03296703296701</v>
      </c>
    </row>
    <row r="17" spans="1:20" x14ac:dyDescent="0.25">
      <c r="E17" s="7"/>
      <c r="F17" s="106"/>
      <c r="G17" s="106"/>
      <c r="P17" s="7"/>
      <c r="Q17" s="106"/>
      <c r="R17" s="106"/>
    </row>
    <row r="18" spans="1:20" x14ac:dyDescent="0.25">
      <c r="A18" t="s">
        <v>234</v>
      </c>
      <c r="E18" s="7">
        <f>+'Forecast - Summary Assumptions'!I56</f>
        <v>28.06215171092445</v>
      </c>
      <c r="F18" s="106">
        <f>+'Forecast - Summary Assumptions'!I53</f>
        <v>26396</v>
      </c>
      <c r="G18" s="106">
        <f>+'Forecast - Summary Assumptions'!I55</f>
        <v>940.62637362637361</v>
      </c>
      <c r="L18" t="s">
        <v>234</v>
      </c>
      <c r="P18" s="7">
        <f>+E18</f>
        <v>28.06215171092445</v>
      </c>
      <c r="Q18" s="106">
        <f>+F18</f>
        <v>26396</v>
      </c>
      <c r="R18" s="106">
        <f>+G18</f>
        <v>940.62637362637361</v>
      </c>
    </row>
    <row r="19" spans="1:20" x14ac:dyDescent="0.25">
      <c r="E19" s="7"/>
      <c r="F19" s="106"/>
      <c r="G19" s="106"/>
      <c r="P19" s="7"/>
      <c r="Q19" s="106"/>
      <c r="R19" s="106"/>
    </row>
    <row r="20" spans="1:20" x14ac:dyDescent="0.25">
      <c r="A20" t="s">
        <v>233</v>
      </c>
      <c r="E20" s="7">
        <f>+'Forecast - Summary Assumptions'!J56</f>
        <v>32.353560269692487</v>
      </c>
      <c r="F20" s="106">
        <f>+'Forecast - Summary Assumptions'!J53</f>
        <v>28106</v>
      </c>
      <c r="G20" s="106">
        <f>+'Forecast - Summary Assumptions'!J55</f>
        <v>868.71428571428567</v>
      </c>
      <c r="L20" t="s">
        <v>233</v>
      </c>
      <c r="P20" s="7">
        <f>+E20</f>
        <v>32.353560269692487</v>
      </c>
      <c r="Q20" s="106">
        <f>+F20</f>
        <v>28106</v>
      </c>
      <c r="R20" s="106">
        <f>+G20</f>
        <v>868.71428571428567</v>
      </c>
    </row>
    <row r="21" spans="1:20" x14ac:dyDescent="0.25">
      <c r="E21" s="7"/>
      <c r="F21" s="106"/>
      <c r="G21" s="106"/>
      <c r="P21" s="7"/>
      <c r="Q21" s="106"/>
      <c r="R21" s="106"/>
    </row>
    <row r="22" spans="1:20" x14ac:dyDescent="0.25">
      <c r="A22" s="112" t="s">
        <v>232</v>
      </c>
      <c r="B22" s="112"/>
      <c r="C22" s="112"/>
      <c r="E22" s="125"/>
      <c r="F22" s="106"/>
      <c r="G22" s="106"/>
      <c r="H22" s="21"/>
      <c r="L22" s="112" t="s">
        <v>232</v>
      </c>
      <c r="M22" s="112"/>
      <c r="N22" s="112"/>
      <c r="P22" s="7">
        <f>+Q22/R22</f>
        <v>28.330168922028903</v>
      </c>
      <c r="Q22" s="106">
        <f>+'Forecast - Summary Assumptions'!AA53</f>
        <v>27055</v>
      </c>
      <c r="R22" s="106">
        <f>+'Forecast - Summary Assumptions'!X41</f>
        <v>954.98901098901104</v>
      </c>
      <c r="T22" t="s">
        <v>269</v>
      </c>
    </row>
    <row r="23" spans="1:20" x14ac:dyDescent="0.25">
      <c r="E23" s="7"/>
      <c r="F23" s="106"/>
      <c r="G23" s="106"/>
      <c r="H23" s="21"/>
    </row>
    <row r="24" spans="1:20" x14ac:dyDescent="0.25">
      <c r="E24" s="7"/>
      <c r="F24" s="106"/>
      <c r="G24" s="106"/>
      <c r="H24" s="21"/>
    </row>
    <row r="25" spans="1:20" x14ac:dyDescent="0.25">
      <c r="E25" s="7"/>
      <c r="F25" s="106"/>
      <c r="G25" s="106"/>
      <c r="H25" s="21"/>
    </row>
    <row r="26" spans="1:20" ht="18.75" x14ac:dyDescent="0.3">
      <c r="A26" s="130" t="s">
        <v>245</v>
      </c>
      <c r="E26" s="7"/>
      <c r="G26" s="106"/>
      <c r="H26" s="21"/>
      <c r="L26" s="130" t="s">
        <v>245</v>
      </c>
      <c r="P26" s="7"/>
    </row>
    <row r="27" spans="1:20" x14ac:dyDescent="0.25">
      <c r="E27" s="131" t="s">
        <v>246</v>
      </c>
      <c r="G27" s="106"/>
      <c r="H27" s="21"/>
      <c r="P27" s="131" t="s">
        <v>246</v>
      </c>
    </row>
    <row r="28" spans="1:20" x14ac:dyDescent="0.25">
      <c r="A28" s="73" t="s">
        <v>166</v>
      </c>
      <c r="B28" s="129"/>
      <c r="C28" s="129"/>
      <c r="D28" s="129"/>
      <c r="E28" s="107" t="s">
        <v>247</v>
      </c>
      <c r="G28" s="106"/>
      <c r="H28" s="21"/>
      <c r="L28" s="73" t="s">
        <v>166</v>
      </c>
      <c r="M28" s="129"/>
      <c r="N28" s="129"/>
      <c r="O28" s="129"/>
      <c r="P28" s="107" t="s">
        <v>247</v>
      </c>
    </row>
    <row r="29" spans="1:20" x14ac:dyDescent="0.25">
      <c r="E29" s="7"/>
      <c r="G29" s="106"/>
      <c r="H29" s="21"/>
      <c r="P29" s="7"/>
    </row>
    <row r="30" spans="1:20" x14ac:dyDescent="0.25">
      <c r="A30" t="s">
        <v>236</v>
      </c>
      <c r="E30" s="106">
        <f>+'Forecast - Summary Assumptions'!F49</f>
        <v>-9679</v>
      </c>
      <c r="G30" s="106"/>
      <c r="H30" s="21"/>
      <c r="L30" t="s">
        <v>236</v>
      </c>
      <c r="P30" s="106">
        <f>+E30</f>
        <v>-9679</v>
      </c>
    </row>
    <row r="31" spans="1:20" x14ac:dyDescent="0.25">
      <c r="E31" s="7"/>
      <c r="G31" s="106"/>
      <c r="H31" s="21"/>
      <c r="P31" s="7"/>
    </row>
    <row r="32" spans="1:20" x14ac:dyDescent="0.25">
      <c r="A32" t="s">
        <v>231</v>
      </c>
      <c r="E32" s="106">
        <f>+'Forecast - Summary Assumptions'!G49</f>
        <v>-11053</v>
      </c>
      <c r="G32" s="106"/>
      <c r="L32" t="s">
        <v>231</v>
      </c>
      <c r="P32" s="106">
        <f>+E32</f>
        <v>-11053</v>
      </c>
    </row>
    <row r="33" spans="1:19" x14ac:dyDescent="0.25">
      <c r="G33" s="106"/>
    </row>
    <row r="34" spans="1:19" x14ac:dyDescent="0.25">
      <c r="A34" t="s">
        <v>235</v>
      </c>
      <c r="E34" s="106">
        <f>+'Forecast - Summary Assumptions'!H49</f>
        <v>-12141</v>
      </c>
      <c r="G34" s="106"/>
      <c r="L34" t="s">
        <v>235</v>
      </c>
      <c r="P34" s="106">
        <f>+E34</f>
        <v>-12141</v>
      </c>
    </row>
    <row r="35" spans="1:19" x14ac:dyDescent="0.25">
      <c r="G35" s="106"/>
    </row>
    <row r="36" spans="1:19" x14ac:dyDescent="0.25">
      <c r="A36" t="s">
        <v>234</v>
      </c>
      <c r="E36" s="106">
        <f>+'Forecast - Summary Assumptions'!I49</f>
        <v>-10401</v>
      </c>
      <c r="G36" s="106"/>
      <c r="L36" t="s">
        <v>234</v>
      </c>
      <c r="P36" s="106">
        <f>+E36</f>
        <v>-10401</v>
      </c>
    </row>
    <row r="37" spans="1:19" x14ac:dyDescent="0.25">
      <c r="G37" s="106"/>
    </row>
    <row r="38" spans="1:19" x14ac:dyDescent="0.25">
      <c r="A38" t="s">
        <v>233</v>
      </c>
      <c r="E38" s="106">
        <f>+'Forecast - Summary Assumptions'!J49</f>
        <v>-10206</v>
      </c>
      <c r="G38" s="106"/>
      <c r="L38" t="s">
        <v>233</v>
      </c>
      <c r="P38" s="106">
        <f>+E38</f>
        <v>-10206</v>
      </c>
    </row>
    <row r="39" spans="1:19" x14ac:dyDescent="0.25">
      <c r="G39" s="106"/>
    </row>
    <row r="40" spans="1:19" x14ac:dyDescent="0.25">
      <c r="A40" s="112" t="s">
        <v>232</v>
      </c>
      <c r="E40" s="20"/>
      <c r="G40" s="106"/>
      <c r="L40" s="112" t="s">
        <v>232</v>
      </c>
      <c r="P40" s="7">
        <f>+'Forecast - Summary Assumptions'!X49</f>
        <v>-7358</v>
      </c>
      <c r="R40" t="s">
        <v>270</v>
      </c>
      <c r="S40" t="s">
        <v>271</v>
      </c>
    </row>
    <row r="41" spans="1:19" x14ac:dyDescent="0.25">
      <c r="G41" s="106"/>
    </row>
    <row r="42" spans="1:19" x14ac:dyDescent="0.25">
      <c r="G42" s="106"/>
    </row>
    <row r="43" spans="1:19" x14ac:dyDescent="0.25">
      <c r="G43" s="10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workbookViewId="0">
      <selection activeCell="A17" sqref="A17"/>
    </sheetView>
  </sheetViews>
  <sheetFormatPr defaultRowHeight="15" x14ac:dyDescent="0.25"/>
  <sheetData>
    <row r="1" spans="1:15" x14ac:dyDescent="0.25">
      <c r="A1" s="46" t="s">
        <v>0</v>
      </c>
    </row>
    <row r="2" spans="1:15" x14ac:dyDescent="0.25">
      <c r="A2" t="s">
        <v>199</v>
      </c>
    </row>
    <row r="5" spans="1:15" x14ac:dyDescent="0.25">
      <c r="A5" s="112" t="s">
        <v>200</v>
      </c>
    </row>
    <row r="6" spans="1:15" x14ac:dyDescent="0.25">
      <c r="M6" s="107" t="s">
        <v>69</v>
      </c>
      <c r="N6" s="107" t="s">
        <v>207</v>
      </c>
      <c r="O6" s="107" t="s">
        <v>208</v>
      </c>
    </row>
    <row r="7" spans="1:15" x14ac:dyDescent="0.25">
      <c r="A7" t="s">
        <v>211</v>
      </c>
      <c r="L7" t="s">
        <v>206</v>
      </c>
      <c r="M7" s="113">
        <f>+'Forecast - Summary IS by Qtr'!J20</f>
        <v>0</v>
      </c>
      <c r="N7" s="7">
        <f>+'Forecast - Summary IS by Qtr'!J30</f>
        <v>0</v>
      </c>
      <c r="O7" s="7">
        <f>+'Forecast - Summary IS by Qtr'!J31</f>
        <v>0</v>
      </c>
    </row>
    <row r="8" spans="1:15" x14ac:dyDescent="0.25">
      <c r="A8" t="s">
        <v>205</v>
      </c>
      <c r="L8" t="s">
        <v>209</v>
      </c>
      <c r="M8" s="97">
        <f>+'Forecast - Summary BS by Qtr'!K10</f>
        <v>-55974</v>
      </c>
      <c r="N8" s="7">
        <f>+'Forecast - Summary BS by Qtr'!K38</f>
        <v>-50376.6</v>
      </c>
      <c r="O8" s="7">
        <f>+'Forecast - Summary BS by Qtr'!K39</f>
        <v>-61571.4</v>
      </c>
    </row>
    <row r="9" spans="1:15" x14ac:dyDescent="0.25">
      <c r="A9" t="s">
        <v>212</v>
      </c>
    </row>
    <row r="12" spans="1:15" x14ac:dyDescent="0.25">
      <c r="A12" t="s">
        <v>210</v>
      </c>
    </row>
    <row r="14" spans="1:15" x14ac:dyDescent="0.25">
      <c r="A14" t="s">
        <v>220</v>
      </c>
    </row>
    <row r="15" spans="1:15" x14ac:dyDescent="0.25">
      <c r="A15" t="s">
        <v>221</v>
      </c>
    </row>
    <row r="16" spans="1:15" x14ac:dyDescent="0.25">
      <c r="A16" t="s">
        <v>222</v>
      </c>
    </row>
  </sheetData>
  <pageMargins left="0.7" right="0.7" top="0.75" bottom="0.75" header="0.3" footer="0.3"/>
  <pageSetup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G7" sqref="G7"/>
    </sheetView>
  </sheetViews>
  <sheetFormatPr defaultRowHeight="15" x14ac:dyDescent="0.25"/>
  <sheetData>
    <row r="1" spans="1:1" x14ac:dyDescent="0.25">
      <c r="A1" s="46" t="s">
        <v>0</v>
      </c>
    </row>
    <row r="2" spans="1:1" x14ac:dyDescent="0.25">
      <c r="A2" t="s">
        <v>201</v>
      </c>
    </row>
    <row r="5" spans="1:1" x14ac:dyDescent="0.25">
      <c r="A5" s="112" t="s">
        <v>200</v>
      </c>
    </row>
    <row r="7" spans="1:1" x14ac:dyDescent="0.25">
      <c r="A7" t="s">
        <v>202</v>
      </c>
    </row>
    <row r="9" spans="1:1" x14ac:dyDescent="0.25">
      <c r="A9" t="s">
        <v>203</v>
      </c>
    </row>
    <row r="11" spans="1:1" x14ac:dyDescent="0.25">
      <c r="A11" t="s">
        <v>204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9"/>
  <sheetViews>
    <sheetView zoomScaleNormal="100" workbookViewId="0">
      <pane xSplit="1" ySplit="8" topLeftCell="F9" activePane="bottomRight" state="frozen"/>
      <selection pane="topRight" activeCell="B1" sqref="B1"/>
      <selection pane="bottomLeft" activeCell="A11" sqref="A11"/>
      <selection pane="bottomRight" activeCell="Q20" sqref="Q20"/>
    </sheetView>
  </sheetViews>
  <sheetFormatPr defaultColWidth="9.140625" defaultRowHeight="15" x14ac:dyDescent="0.25"/>
  <cols>
    <col min="1" max="1" width="43.85546875" style="46" customWidth="1"/>
    <col min="2" max="2" width="12.28515625" style="46" customWidth="1"/>
    <col min="3" max="4" width="11.42578125" style="46" customWidth="1"/>
    <col min="5" max="5" width="11.42578125" style="46" hidden="1" customWidth="1"/>
    <col min="6" max="6" width="11.5703125" style="46" customWidth="1"/>
    <col min="7" max="8" width="11.28515625" style="46" customWidth="1"/>
    <col min="9" max="9" width="10.7109375" style="46" customWidth="1"/>
    <col min="10" max="10" width="10.28515625" style="46" customWidth="1"/>
    <col min="11" max="11" width="10.28515625" style="46" hidden="1" customWidth="1"/>
    <col min="12" max="13" width="9.42578125" style="46" hidden="1" customWidth="1"/>
    <col min="14" max="14" width="9.42578125" style="46" customWidth="1"/>
    <col min="15" max="15" width="10.5703125" style="46" customWidth="1"/>
    <col min="16" max="17" width="11.28515625" style="46" customWidth="1"/>
    <col min="18" max="18" width="11.140625" style="46" customWidth="1"/>
    <col min="19" max="19" width="10.5703125" style="46" customWidth="1"/>
    <col min="20" max="20" width="12.85546875" style="46" customWidth="1"/>
    <col min="21" max="21" width="11.5703125" style="46" customWidth="1"/>
    <col min="22" max="22" width="11.28515625" style="46" customWidth="1"/>
    <col min="23" max="16384" width="9.140625" style="46"/>
  </cols>
  <sheetData>
    <row r="1" spans="1:42" x14ac:dyDescent="0.25">
      <c r="A1" s="46" t="s">
        <v>0</v>
      </c>
    </row>
    <row r="2" spans="1:42" x14ac:dyDescent="0.25">
      <c r="A2" s="46" t="s">
        <v>165</v>
      </c>
    </row>
    <row r="3" spans="1:42" x14ac:dyDescent="0.25">
      <c r="A3" s="46" t="s">
        <v>166</v>
      </c>
    </row>
    <row r="6" spans="1:42" x14ac:dyDescent="0.25">
      <c r="A6" s="47"/>
      <c r="B6" s="48" t="s">
        <v>65</v>
      </c>
      <c r="C6" s="48" t="s">
        <v>65</v>
      </c>
      <c r="D6" s="48" t="s">
        <v>65</v>
      </c>
      <c r="E6" s="48" t="s">
        <v>65</v>
      </c>
      <c r="F6" s="48" t="s">
        <v>65</v>
      </c>
      <c r="G6" s="48" t="s">
        <v>65</v>
      </c>
      <c r="H6" s="48" t="s">
        <v>65</v>
      </c>
      <c r="I6" s="48" t="s">
        <v>65</v>
      </c>
      <c r="J6" s="48" t="s">
        <v>51</v>
      </c>
      <c r="K6" s="48" t="s">
        <v>51</v>
      </c>
      <c r="L6" s="48" t="s">
        <v>51</v>
      </c>
      <c r="M6" s="48" t="s">
        <v>51</v>
      </c>
      <c r="N6" s="48"/>
      <c r="O6" s="48"/>
      <c r="P6" s="48"/>
      <c r="Q6" s="48" t="s">
        <v>51</v>
      </c>
      <c r="R6" s="48" t="s">
        <v>65</v>
      </c>
      <c r="S6"/>
      <c r="T6" s="48"/>
      <c r="U6" s="48" t="s">
        <v>65</v>
      </c>
      <c r="V6" s="48" t="s">
        <v>51</v>
      </c>
    </row>
    <row r="7" spans="1:42" x14ac:dyDescent="0.25">
      <c r="A7" s="55" t="s">
        <v>1</v>
      </c>
      <c r="B7" s="50" t="s">
        <v>36</v>
      </c>
      <c r="C7" s="50" t="s">
        <v>37</v>
      </c>
      <c r="D7" s="50" t="s">
        <v>38</v>
      </c>
      <c r="E7" s="49" t="s">
        <v>33</v>
      </c>
      <c r="F7" s="50" t="s">
        <v>36</v>
      </c>
      <c r="G7" s="50" t="s">
        <v>37</v>
      </c>
      <c r="H7" s="50" t="s">
        <v>38</v>
      </c>
      <c r="I7" s="49" t="s">
        <v>33</v>
      </c>
      <c r="J7" s="50" t="s">
        <v>36</v>
      </c>
      <c r="K7" s="50" t="s">
        <v>37</v>
      </c>
      <c r="L7" s="50" t="s">
        <v>38</v>
      </c>
      <c r="M7" s="49" t="s">
        <v>33</v>
      </c>
      <c r="N7" s="50"/>
      <c r="O7" s="50"/>
      <c r="P7" s="50"/>
      <c r="Q7" s="50" t="s">
        <v>36</v>
      </c>
      <c r="R7" s="50" t="s">
        <v>36</v>
      </c>
      <c r="S7"/>
      <c r="T7" s="50"/>
      <c r="U7" s="49" t="s">
        <v>161</v>
      </c>
      <c r="V7" s="49" t="s">
        <v>161</v>
      </c>
    </row>
    <row r="8" spans="1:42" x14ac:dyDescent="0.25">
      <c r="A8" s="55" t="s">
        <v>1</v>
      </c>
      <c r="B8" s="51" t="s">
        <v>34</v>
      </c>
      <c r="C8" s="51" t="s">
        <v>34</v>
      </c>
      <c r="D8" s="51" t="s">
        <v>34</v>
      </c>
      <c r="E8" s="51" t="s">
        <v>34</v>
      </c>
      <c r="F8" s="51" t="s">
        <v>39</v>
      </c>
      <c r="G8" s="51" t="s">
        <v>39</v>
      </c>
      <c r="H8" s="51" t="s">
        <v>39</v>
      </c>
      <c r="I8" s="51" t="s">
        <v>39</v>
      </c>
      <c r="J8" s="51" t="s">
        <v>50</v>
      </c>
      <c r="K8" s="51" t="s">
        <v>50</v>
      </c>
      <c r="L8" s="51" t="s">
        <v>50</v>
      </c>
      <c r="M8" s="51" t="s">
        <v>50</v>
      </c>
      <c r="N8" s="81"/>
      <c r="O8" s="81"/>
      <c r="P8" s="81"/>
      <c r="Q8" s="51" t="s">
        <v>50</v>
      </c>
      <c r="R8" s="51" t="s">
        <v>50</v>
      </c>
      <c r="S8" s="107" t="s">
        <v>186</v>
      </c>
      <c r="T8" s="81"/>
      <c r="U8" s="51" t="s">
        <v>34</v>
      </c>
      <c r="V8" s="51" t="s">
        <v>39</v>
      </c>
    </row>
    <row r="9" spans="1:42" x14ac:dyDescent="0.25">
      <c r="A9" s="55"/>
      <c r="B9" s="81"/>
      <c r="C9" s="81"/>
      <c r="D9" s="81"/>
      <c r="E9" s="81"/>
      <c r="F9" s="81"/>
      <c r="G9" s="81"/>
      <c r="H9" s="81"/>
      <c r="I9" s="81"/>
      <c r="J9" s="81"/>
      <c r="K9" s="81"/>
      <c r="L9" s="81"/>
      <c r="M9" s="81"/>
      <c r="N9" s="81"/>
      <c r="O9" s="81"/>
      <c r="P9" s="81"/>
      <c r="Q9" s="81"/>
      <c r="R9" s="81"/>
      <c r="S9" s="81"/>
      <c r="T9" s="81"/>
      <c r="U9" s="81"/>
      <c r="V9" s="81"/>
    </row>
    <row r="10" spans="1:42" x14ac:dyDescent="0.25">
      <c r="A10" s="55" t="s">
        <v>4</v>
      </c>
      <c r="B10" s="89">
        <f>+'IS by Qtr'!B11</f>
        <v>66829</v>
      </c>
      <c r="C10" s="89">
        <f>+'IS by Qtr'!C11</f>
        <v>75362</v>
      </c>
      <c r="D10" s="89">
        <f>+'IS by Qtr'!D11</f>
        <v>73910</v>
      </c>
      <c r="E10" s="89">
        <f>+'IS by Qtr'!E11</f>
        <v>70961</v>
      </c>
      <c r="F10" s="89">
        <f>+'Forecast - Summary Assumptions'!G17</f>
        <v>78054</v>
      </c>
      <c r="G10" s="89">
        <f>+'Forecast - Summary Assumptions'!H17</f>
        <v>87909</v>
      </c>
      <c r="H10" s="89">
        <f>+'Forecast - Summary Assumptions'!I17</f>
        <v>85597</v>
      </c>
      <c r="I10" s="89">
        <f>+'Forecast - Summary Assumptions'!J17</f>
        <v>79053</v>
      </c>
      <c r="J10" s="89">
        <f>+'Forecast - Summary Assumptions'!K17</f>
        <v>0</v>
      </c>
      <c r="K10" s="89">
        <f>+'Forecast - Summary Assumptions'!L17</f>
        <v>0</v>
      </c>
      <c r="L10" s="89">
        <f>+'Forecast - Summary Assumptions'!M17</f>
        <v>0</v>
      </c>
      <c r="M10" s="89">
        <f>+'Forecast - Summary Assumptions'!N17</f>
        <v>0</v>
      </c>
      <c r="N10" s="83"/>
      <c r="O10" s="83"/>
      <c r="P10" s="83"/>
      <c r="Q10" s="89">
        <f>+J10</f>
        <v>0</v>
      </c>
      <c r="R10" s="89">
        <f>+'Actual - Summary IS by Qtr'!J10</f>
        <v>86904</v>
      </c>
      <c r="S10" s="89">
        <f>+Q10-R10</f>
        <v>-86904</v>
      </c>
      <c r="T10" s="83"/>
      <c r="U10" s="89">
        <v>287062</v>
      </c>
      <c r="V10" s="89">
        <v>330613</v>
      </c>
      <c r="W10" s="82"/>
      <c r="X10" s="82"/>
      <c r="Y10" s="82"/>
      <c r="Z10" s="82"/>
      <c r="AA10" s="82"/>
      <c r="AB10" s="82"/>
      <c r="AC10" s="82"/>
      <c r="AD10" s="82"/>
      <c r="AE10" s="82"/>
      <c r="AF10" s="82"/>
      <c r="AG10" s="82"/>
      <c r="AH10" s="82"/>
      <c r="AI10" s="82"/>
      <c r="AJ10" s="82"/>
      <c r="AK10" s="82"/>
      <c r="AL10" s="53"/>
      <c r="AM10" s="53"/>
      <c r="AN10" s="53"/>
      <c r="AO10" s="53"/>
      <c r="AP10" s="53"/>
    </row>
    <row r="11" spans="1:42" x14ac:dyDescent="0.25">
      <c r="A11" s="55"/>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53"/>
      <c r="AM11" s="53"/>
      <c r="AN11" s="53"/>
      <c r="AO11" s="53"/>
      <c r="AP11" s="53"/>
    </row>
    <row r="12" spans="1:42" x14ac:dyDescent="0.25">
      <c r="A12" s="55" t="s">
        <v>6</v>
      </c>
      <c r="B12" s="83">
        <f>+'IS by Qtr'!B13</f>
        <v>17544</v>
      </c>
      <c r="C12" s="83">
        <f>+'IS by Qtr'!C13</f>
        <v>19802</v>
      </c>
      <c r="D12" s="83">
        <f>+'IS by Qtr'!D13</f>
        <v>19674</v>
      </c>
      <c r="E12" s="83">
        <f>+'IS by Qtr'!E13</f>
        <v>18666</v>
      </c>
      <c r="F12" s="83">
        <f>+'Forecast - Summary Assumptions'!G20</f>
        <v>19998</v>
      </c>
      <c r="G12" s="83">
        <f>+'Forecast - Summary Assumptions'!H20</f>
        <v>22397</v>
      </c>
      <c r="H12" s="83">
        <f>+'Forecast - Summary Assumptions'!I20</f>
        <v>22528</v>
      </c>
      <c r="I12" s="83">
        <f>+'Forecast - Summary Assumptions'!J20</f>
        <v>20619</v>
      </c>
      <c r="J12" s="83">
        <f>+'Forecast - Summary Assumptions'!K20</f>
        <v>0</v>
      </c>
      <c r="K12" s="83">
        <f>+'Forecast - Summary Assumptions'!L20</f>
        <v>0</v>
      </c>
      <c r="L12" s="83">
        <f>+'Forecast - Summary Assumptions'!M20</f>
        <v>0</v>
      </c>
      <c r="M12" s="83">
        <f>+'Forecast - Summary Assumptions'!N20</f>
        <v>0</v>
      </c>
      <c r="N12" s="83"/>
      <c r="O12" s="83"/>
      <c r="P12" s="83"/>
      <c r="Q12" s="83">
        <f>+J12</f>
        <v>0</v>
      </c>
      <c r="R12" s="83">
        <f>+'Actual - Summary IS by Qtr'!J12</f>
        <v>21825</v>
      </c>
      <c r="S12" s="83">
        <f>+Q12-R12</f>
        <v>-21825</v>
      </c>
      <c r="T12" s="83"/>
      <c r="U12" s="83">
        <v>75686</v>
      </c>
      <c r="V12" s="83">
        <v>85542</v>
      </c>
      <c r="W12" s="82"/>
      <c r="X12" s="82"/>
      <c r="Y12" s="82"/>
      <c r="Z12" s="82"/>
      <c r="AA12" s="82"/>
      <c r="AB12" s="82"/>
      <c r="AC12" s="82"/>
      <c r="AD12" s="82"/>
      <c r="AE12" s="82"/>
      <c r="AF12" s="82"/>
      <c r="AG12" s="82"/>
      <c r="AH12" s="82"/>
      <c r="AI12" s="82"/>
      <c r="AJ12" s="82"/>
      <c r="AK12" s="82"/>
      <c r="AL12" s="53"/>
      <c r="AM12" s="53"/>
      <c r="AN12" s="53"/>
      <c r="AO12" s="53"/>
      <c r="AP12" s="53"/>
    </row>
    <row r="13" spans="1:42" x14ac:dyDescent="0.25">
      <c r="A13" s="55" t="s">
        <v>8</v>
      </c>
      <c r="B13" s="83">
        <f>SUM('IS by Qtr'!B14:B19)</f>
        <v>41684</v>
      </c>
      <c r="C13" s="83">
        <f>SUM('IS by Qtr'!C14:C19)</f>
        <v>44769</v>
      </c>
      <c r="D13" s="83">
        <f>SUM('IS by Qtr'!D14:D19)</f>
        <v>44394</v>
      </c>
      <c r="E13" s="83">
        <f>SUM('IS by Qtr'!E14:E19)</f>
        <v>44593</v>
      </c>
      <c r="F13" s="83">
        <f>+'Forecast - Summary Assumptions'!G23</f>
        <v>48090</v>
      </c>
      <c r="G13" s="83">
        <f>+'Forecast - Summary Assumptions'!H23</f>
        <v>53475</v>
      </c>
      <c r="H13" s="83">
        <f>+'Forecast - Summary Assumptions'!I23</f>
        <v>52118</v>
      </c>
      <c r="I13" s="83">
        <f>+'Forecast - Summary Assumptions'!J23</f>
        <v>50449</v>
      </c>
      <c r="J13" s="83">
        <f>+'Forecast - Summary Assumptions'!K23</f>
        <v>0</v>
      </c>
      <c r="K13" s="83">
        <f>+'Forecast - Summary Assumptions'!L23</f>
        <v>0</v>
      </c>
      <c r="L13" s="83">
        <f>+'Forecast - Summary Assumptions'!M23</f>
        <v>0</v>
      </c>
      <c r="M13" s="83">
        <f>+'Forecast - Summary Assumptions'!N23</f>
        <v>0</v>
      </c>
      <c r="N13" s="83"/>
      <c r="O13" s="83"/>
      <c r="P13" s="83"/>
      <c r="Q13" s="109">
        <f>+J13</f>
        <v>0</v>
      </c>
      <c r="R13" s="109">
        <f>+'Actual - Summary IS by Qtr'!J13</f>
        <v>54457</v>
      </c>
      <c r="S13" s="109">
        <f t="shared" ref="S13:S15" si="0">+Q13-R13</f>
        <v>-54457</v>
      </c>
      <c r="T13" s="83"/>
      <c r="U13" s="83">
        <v>93625</v>
      </c>
      <c r="V13" s="83">
        <v>110730</v>
      </c>
      <c r="W13" s="82"/>
      <c r="X13" s="82"/>
      <c r="Y13" s="82"/>
      <c r="Z13" s="82"/>
      <c r="AA13" s="82"/>
      <c r="AB13" s="82"/>
      <c r="AC13" s="82"/>
      <c r="AD13" s="82"/>
      <c r="AE13" s="82"/>
      <c r="AF13" s="82"/>
      <c r="AG13" s="82"/>
      <c r="AH13" s="82"/>
      <c r="AI13" s="82"/>
      <c r="AJ13" s="82"/>
      <c r="AK13" s="82"/>
      <c r="AL13" s="53"/>
      <c r="AM13" s="53"/>
      <c r="AN13" s="53"/>
      <c r="AO13" s="53"/>
      <c r="AP13" s="53"/>
    </row>
    <row r="14" spans="1:42" x14ac:dyDescent="0.25">
      <c r="A14" s="55" t="s">
        <v>164</v>
      </c>
      <c r="B14" s="83">
        <f>+'IS by Qtr'!B20</f>
        <v>0</v>
      </c>
      <c r="C14" s="83">
        <f>+'IS by Qtr'!C20</f>
        <v>0</v>
      </c>
      <c r="D14" s="83">
        <f>+'IS by Qtr'!D20</f>
        <v>0</v>
      </c>
      <c r="E14" s="83">
        <f>+'IS by Qtr'!E20</f>
        <v>4360</v>
      </c>
      <c r="F14" s="83">
        <f>+'Forecast - Summary Assumptions'!G26</f>
        <v>0</v>
      </c>
      <c r="G14" s="83">
        <f>+'Forecast - Summary Assumptions'!H26</f>
        <v>0</v>
      </c>
      <c r="H14" s="83">
        <f>+'Forecast - Summary Assumptions'!I26</f>
        <v>390</v>
      </c>
      <c r="I14" s="83">
        <f>+'Forecast - Summary Assumptions'!J26</f>
        <v>1127</v>
      </c>
      <c r="J14" s="83">
        <f>+'Forecast - Summary Assumptions'!K26</f>
        <v>0</v>
      </c>
      <c r="K14" s="83">
        <f>+'Forecast - Summary Assumptions'!L26</f>
        <v>0</v>
      </c>
      <c r="L14" s="83">
        <f>+'Forecast - Summary Assumptions'!M26</f>
        <v>0</v>
      </c>
      <c r="M14" s="83">
        <f>+'Forecast - Summary Assumptions'!N26</f>
        <v>0</v>
      </c>
      <c r="N14" s="83"/>
      <c r="O14" s="83"/>
      <c r="P14" s="83"/>
      <c r="Q14" s="109">
        <f>+J14</f>
        <v>0</v>
      </c>
      <c r="R14" s="109">
        <f>+'Actual - Summary IS by Qtr'!J14</f>
        <v>0</v>
      </c>
      <c r="S14" s="109">
        <f t="shared" si="0"/>
        <v>0</v>
      </c>
      <c r="T14" s="83"/>
      <c r="U14" s="83">
        <v>4360</v>
      </c>
      <c r="V14" s="83">
        <v>1517</v>
      </c>
      <c r="W14" s="82"/>
      <c r="X14" s="82"/>
      <c r="Y14" s="82"/>
      <c r="Z14" s="82"/>
      <c r="AA14" s="82"/>
      <c r="AB14" s="82"/>
      <c r="AC14" s="82"/>
      <c r="AD14" s="82"/>
      <c r="AE14" s="82"/>
      <c r="AF14" s="82"/>
      <c r="AG14" s="82"/>
      <c r="AH14" s="82"/>
      <c r="AI14" s="82"/>
      <c r="AJ14" s="82"/>
      <c r="AK14" s="82"/>
      <c r="AL14" s="53"/>
      <c r="AM14" s="53"/>
      <c r="AN14" s="53"/>
      <c r="AO14" s="53"/>
      <c r="AP14" s="53"/>
    </row>
    <row r="15" spans="1:42" x14ac:dyDescent="0.25">
      <c r="A15" s="55" t="s">
        <v>13</v>
      </c>
      <c r="B15" s="85">
        <f>+'IS by Qtr'!B21+'IS by Qtr'!B25</f>
        <v>3045</v>
      </c>
      <c r="C15" s="85">
        <f>+'IS by Qtr'!C21+'IS by Qtr'!C25</f>
        <v>3224</v>
      </c>
      <c r="D15" s="85">
        <f>+'IS by Qtr'!D21+'IS by Qtr'!D25</f>
        <v>3246</v>
      </c>
      <c r="E15" s="85">
        <f>+'IS by Qtr'!E21+'IS by Qtr'!E25</f>
        <v>3422</v>
      </c>
      <c r="F15" s="85">
        <f>+'Forecast - Summary Assumptions'!G28</f>
        <v>3492</v>
      </c>
      <c r="G15" s="85">
        <f>+'Forecast - Summary Assumptions'!H28</f>
        <v>3723</v>
      </c>
      <c r="H15" s="85">
        <f>+'Forecast - Summary Assumptions'!I28</f>
        <v>3837</v>
      </c>
      <c r="I15" s="85">
        <f>+'Forecast - Summary Assumptions'!J28</f>
        <v>4092</v>
      </c>
      <c r="J15" s="85">
        <f>+'Forecast - Summary Assumptions'!K28</f>
        <v>0</v>
      </c>
      <c r="K15" s="85">
        <f>+'Forecast - Summary Assumptions'!L28</f>
        <v>0</v>
      </c>
      <c r="L15" s="85">
        <f>+'Forecast - Summary Assumptions'!M28</f>
        <v>0</v>
      </c>
      <c r="M15" s="85">
        <f>+'Forecast - Summary Assumptions'!N28</f>
        <v>0</v>
      </c>
      <c r="N15" s="83"/>
      <c r="O15" s="83"/>
      <c r="P15" s="83"/>
      <c r="Q15" s="85">
        <f>+J15</f>
        <v>0</v>
      </c>
      <c r="R15" s="85">
        <f>+'Actual - Summary IS by Qtr'!J15</f>
        <v>4177</v>
      </c>
      <c r="S15" s="85">
        <f t="shared" si="0"/>
        <v>-4177</v>
      </c>
      <c r="T15" s="83"/>
      <c r="U15" s="85">
        <v>12827</v>
      </c>
      <c r="V15" s="85">
        <v>15081</v>
      </c>
      <c r="W15" s="82"/>
      <c r="X15" s="82"/>
      <c r="Y15" s="82"/>
      <c r="Z15" s="82"/>
      <c r="AA15" s="82"/>
      <c r="AB15" s="82"/>
      <c r="AC15" s="82"/>
      <c r="AD15" s="82"/>
      <c r="AE15" s="82"/>
      <c r="AF15" s="82"/>
      <c r="AG15" s="82"/>
      <c r="AH15" s="82"/>
      <c r="AI15" s="82"/>
      <c r="AJ15" s="82"/>
      <c r="AK15" s="82"/>
      <c r="AL15" s="53"/>
      <c r="AM15" s="53"/>
      <c r="AN15" s="53"/>
      <c r="AO15" s="53"/>
      <c r="AP15" s="53"/>
    </row>
    <row r="16" spans="1:42" x14ac:dyDescent="0.25">
      <c r="A16" s="55" t="s">
        <v>14</v>
      </c>
      <c r="B16" s="91">
        <f>SUM(B12:B15)</f>
        <v>62273</v>
      </c>
      <c r="C16" s="91">
        <f t="shared" ref="C16:F16" si="1">SUM(C12:C15)</f>
        <v>67795</v>
      </c>
      <c r="D16" s="91">
        <f t="shared" si="1"/>
        <v>67314</v>
      </c>
      <c r="E16" s="91">
        <f t="shared" si="1"/>
        <v>71041</v>
      </c>
      <c r="F16" s="91">
        <f t="shared" si="1"/>
        <v>71580</v>
      </c>
      <c r="G16" s="91">
        <f t="shared" ref="G16:M16" si="2">SUM(G12:G15)</f>
        <v>79595</v>
      </c>
      <c r="H16" s="91">
        <f t="shared" si="2"/>
        <v>78873</v>
      </c>
      <c r="I16" s="91">
        <f t="shared" si="2"/>
        <v>76287</v>
      </c>
      <c r="J16" s="91">
        <f t="shared" si="2"/>
        <v>0</v>
      </c>
      <c r="K16" s="91">
        <f t="shared" si="2"/>
        <v>0</v>
      </c>
      <c r="L16" s="91">
        <f t="shared" si="2"/>
        <v>0</v>
      </c>
      <c r="M16" s="91">
        <f t="shared" si="2"/>
        <v>0</v>
      </c>
      <c r="N16" s="83"/>
      <c r="O16" s="83"/>
      <c r="P16" s="83"/>
      <c r="Q16" s="91">
        <f t="shared" ref="Q16:S16" si="3">SUM(Q12:Q15)</f>
        <v>0</v>
      </c>
      <c r="R16" s="91">
        <f t="shared" si="3"/>
        <v>80459</v>
      </c>
      <c r="S16" s="91">
        <f t="shared" si="3"/>
        <v>-80459</v>
      </c>
      <c r="T16" s="83"/>
      <c r="U16" s="91">
        <v>268313</v>
      </c>
      <c r="V16" s="91">
        <v>306272</v>
      </c>
      <c r="W16" s="82"/>
      <c r="X16" s="82"/>
      <c r="Y16" s="82"/>
      <c r="Z16" s="82"/>
      <c r="AA16" s="82"/>
      <c r="AB16" s="82"/>
      <c r="AC16" s="82"/>
      <c r="AD16" s="82"/>
      <c r="AE16" s="82"/>
      <c r="AF16" s="82"/>
      <c r="AG16" s="82"/>
      <c r="AH16" s="82"/>
      <c r="AI16" s="82"/>
      <c r="AJ16" s="82"/>
      <c r="AK16" s="82"/>
      <c r="AL16" s="53"/>
      <c r="AM16" s="53"/>
      <c r="AN16" s="53"/>
      <c r="AO16" s="53"/>
      <c r="AP16" s="53"/>
    </row>
    <row r="17" spans="1:42" x14ac:dyDescent="0.25">
      <c r="A17" s="55" t="s">
        <v>17</v>
      </c>
      <c r="B17" s="83">
        <f>+B10-B16</f>
        <v>4556</v>
      </c>
      <c r="C17" s="83">
        <f t="shared" ref="C17:F17" si="4">+C10-C16</f>
        <v>7567</v>
      </c>
      <c r="D17" s="83">
        <f t="shared" si="4"/>
        <v>6596</v>
      </c>
      <c r="E17" s="83">
        <f t="shared" si="4"/>
        <v>-80</v>
      </c>
      <c r="F17" s="83">
        <f t="shared" si="4"/>
        <v>6474</v>
      </c>
      <c r="G17" s="83">
        <f t="shared" ref="G17:M17" si="5">+G10-G16</f>
        <v>8314</v>
      </c>
      <c r="H17" s="83">
        <f t="shared" si="5"/>
        <v>6724</v>
      </c>
      <c r="I17" s="83">
        <f t="shared" si="5"/>
        <v>2766</v>
      </c>
      <c r="J17" s="83">
        <f t="shared" si="5"/>
        <v>0</v>
      </c>
      <c r="K17" s="83">
        <f t="shared" si="5"/>
        <v>0</v>
      </c>
      <c r="L17" s="83">
        <f t="shared" si="5"/>
        <v>0</v>
      </c>
      <c r="M17" s="83">
        <f t="shared" si="5"/>
        <v>0</v>
      </c>
      <c r="N17" s="83"/>
      <c r="O17" s="83"/>
      <c r="P17" s="83"/>
      <c r="Q17" s="83">
        <f t="shared" ref="Q17:S17" si="6">+Q10-Q16</f>
        <v>0</v>
      </c>
      <c r="R17" s="83">
        <f t="shared" si="6"/>
        <v>6445</v>
      </c>
      <c r="S17" s="83">
        <f t="shared" si="6"/>
        <v>-6445</v>
      </c>
      <c r="T17" s="83"/>
      <c r="U17" s="83">
        <v>18639</v>
      </c>
      <c r="V17" s="83">
        <v>24278</v>
      </c>
      <c r="W17" s="82"/>
      <c r="X17" s="82"/>
      <c r="Y17" s="82"/>
      <c r="Z17" s="82"/>
      <c r="AA17" s="82"/>
      <c r="AB17" s="82"/>
      <c r="AC17" s="82"/>
      <c r="AD17" s="82"/>
      <c r="AE17" s="82"/>
      <c r="AF17" s="82"/>
      <c r="AG17" s="82"/>
      <c r="AH17" s="82"/>
      <c r="AI17" s="82"/>
      <c r="AJ17" s="82"/>
      <c r="AK17" s="82"/>
      <c r="AL17" s="53"/>
      <c r="AM17" s="53"/>
      <c r="AN17" s="53"/>
      <c r="AO17" s="53"/>
      <c r="AP17" s="53"/>
    </row>
    <row r="18" spans="1:42" x14ac:dyDescent="0.25">
      <c r="A18" s="55" t="s">
        <v>18</v>
      </c>
      <c r="B18" s="85">
        <f>+'IS by Qtr'!B27</f>
        <v>1321</v>
      </c>
      <c r="C18" s="85">
        <f>+'IS by Qtr'!C27</f>
        <v>2194</v>
      </c>
      <c r="D18" s="85">
        <f>+'IS by Qtr'!D27</f>
        <v>2527</v>
      </c>
      <c r="E18" s="85">
        <f>+'IS by Qtr'!E27</f>
        <v>-299</v>
      </c>
      <c r="F18" s="85">
        <f>+'Forecast - Summary Assumptions'!G32</f>
        <v>1942</v>
      </c>
      <c r="G18" s="85">
        <f>+'Forecast - Summary Assumptions'!H32</f>
        <v>2534</v>
      </c>
      <c r="H18" s="85">
        <f>+'Forecast - Summary Assumptions'!I32</f>
        <v>2125</v>
      </c>
      <c r="I18" s="85">
        <f>+'Forecast - Summary Assumptions'!J32</f>
        <v>433</v>
      </c>
      <c r="J18" s="85">
        <f>+'Forecast - Summary Assumptions'!K32</f>
        <v>0</v>
      </c>
      <c r="K18" s="85">
        <f>+'Forecast - Summary Assumptions'!L32</f>
        <v>0</v>
      </c>
      <c r="L18" s="85">
        <f>+'Forecast - Summary Assumptions'!M32</f>
        <v>0</v>
      </c>
      <c r="M18" s="85">
        <f>+'Forecast - Summary Assumptions'!N32</f>
        <v>0</v>
      </c>
      <c r="N18" s="83"/>
      <c r="O18" s="83"/>
      <c r="P18" s="83"/>
      <c r="Q18" s="85">
        <f>+J18</f>
        <v>0</v>
      </c>
      <c r="R18" s="85">
        <f>+'Actual - Summary IS by Qtr'!J18</f>
        <v>1895</v>
      </c>
      <c r="S18" s="85">
        <f t="shared" ref="S18" si="7">+Q18-R18</f>
        <v>-1895</v>
      </c>
      <c r="T18" s="83"/>
      <c r="U18" s="85">
        <v>5743</v>
      </c>
      <c r="V18" s="85">
        <v>7034</v>
      </c>
      <c r="W18" s="82"/>
      <c r="X18" s="82"/>
      <c r="Y18" s="82"/>
      <c r="Z18" s="82"/>
      <c r="AA18" s="82"/>
      <c r="AB18" s="82"/>
      <c r="AC18" s="82"/>
      <c r="AD18" s="82"/>
      <c r="AE18" s="82"/>
      <c r="AF18" s="82"/>
      <c r="AG18" s="82"/>
      <c r="AH18" s="82"/>
      <c r="AI18" s="82"/>
      <c r="AJ18" s="82"/>
      <c r="AK18" s="82"/>
      <c r="AL18" s="53"/>
      <c r="AM18" s="53"/>
      <c r="AN18" s="53"/>
      <c r="AO18" s="53"/>
      <c r="AP18" s="53"/>
    </row>
    <row r="19" spans="1:42" x14ac:dyDescent="0.25">
      <c r="A19" s="55"/>
      <c r="B19" s="83"/>
      <c r="C19" s="83"/>
      <c r="D19" s="83"/>
      <c r="E19" s="83"/>
      <c r="F19" s="83"/>
      <c r="G19" s="83"/>
      <c r="H19" s="83"/>
      <c r="I19" s="83"/>
      <c r="J19" s="83"/>
      <c r="K19" s="83"/>
      <c r="L19" s="83"/>
      <c r="M19" s="83"/>
      <c r="N19" s="83"/>
      <c r="O19" s="83"/>
      <c r="P19" s="83"/>
      <c r="Q19" s="83"/>
      <c r="R19" s="83"/>
      <c r="S19" s="83"/>
      <c r="T19" s="83"/>
      <c r="U19" s="83"/>
      <c r="V19" s="83"/>
      <c r="W19" s="82"/>
      <c r="X19" s="82"/>
      <c r="Y19" s="82"/>
      <c r="Z19" s="82"/>
      <c r="AA19" s="82"/>
      <c r="AB19" s="82"/>
      <c r="AC19" s="82"/>
      <c r="AD19" s="82"/>
      <c r="AE19" s="82"/>
      <c r="AF19" s="82"/>
      <c r="AG19" s="82"/>
      <c r="AH19" s="82"/>
      <c r="AI19" s="82"/>
      <c r="AJ19" s="82"/>
      <c r="AK19" s="82"/>
      <c r="AL19" s="53"/>
      <c r="AM19" s="53"/>
      <c r="AN19" s="53"/>
      <c r="AO19" s="53"/>
      <c r="AP19" s="53"/>
    </row>
    <row r="20" spans="1:42" ht="15.75" thickBot="1" x14ac:dyDescent="0.3">
      <c r="A20" s="55" t="s">
        <v>19</v>
      </c>
      <c r="B20" s="87">
        <f>+B17-B18</f>
        <v>3235</v>
      </c>
      <c r="C20" s="87">
        <f t="shared" ref="C20:F20" si="8">+C17-C18</f>
        <v>5373</v>
      </c>
      <c r="D20" s="87">
        <f t="shared" si="8"/>
        <v>4069</v>
      </c>
      <c r="E20" s="87">
        <f t="shared" si="8"/>
        <v>219</v>
      </c>
      <c r="F20" s="87">
        <f t="shared" si="8"/>
        <v>4532</v>
      </c>
      <c r="G20" s="87">
        <f t="shared" ref="G20:M20" si="9">+G17-G18</f>
        <v>5780</v>
      </c>
      <c r="H20" s="87">
        <f t="shared" si="9"/>
        <v>4599</v>
      </c>
      <c r="I20" s="87">
        <f t="shared" si="9"/>
        <v>2333</v>
      </c>
      <c r="J20" s="87">
        <f t="shared" si="9"/>
        <v>0</v>
      </c>
      <c r="K20" s="87">
        <f t="shared" si="9"/>
        <v>0</v>
      </c>
      <c r="L20" s="87">
        <f t="shared" si="9"/>
        <v>0</v>
      </c>
      <c r="M20" s="87">
        <f t="shared" si="9"/>
        <v>0</v>
      </c>
      <c r="N20" s="83"/>
      <c r="O20" s="83"/>
      <c r="P20" s="83"/>
      <c r="Q20" s="87">
        <f t="shared" ref="Q20:S20" si="10">+Q17-Q18</f>
        <v>0</v>
      </c>
      <c r="R20" s="87">
        <f t="shared" si="10"/>
        <v>4550</v>
      </c>
      <c r="S20" s="87">
        <f t="shared" si="10"/>
        <v>-4550</v>
      </c>
      <c r="T20" s="83"/>
      <c r="U20" s="87">
        <v>12896</v>
      </c>
      <c r="V20" s="87">
        <v>17244</v>
      </c>
      <c r="W20" s="82"/>
      <c r="X20" s="82"/>
      <c r="Y20" s="82"/>
      <c r="Z20" s="82"/>
      <c r="AA20" s="82"/>
      <c r="AB20" s="82"/>
      <c r="AC20" s="82"/>
      <c r="AD20" s="82"/>
      <c r="AE20" s="82"/>
      <c r="AF20" s="82"/>
      <c r="AG20" s="82"/>
      <c r="AH20" s="82"/>
      <c r="AI20" s="82"/>
      <c r="AJ20" s="82"/>
      <c r="AK20" s="82"/>
      <c r="AL20" s="53"/>
      <c r="AM20" s="53"/>
      <c r="AN20" s="53"/>
      <c r="AO20" s="53"/>
      <c r="AP20" s="53"/>
    </row>
    <row r="21" spans="1:42" ht="15.75" thickTop="1" x14ac:dyDescent="0.25">
      <c r="A21" s="55" t="s">
        <v>20</v>
      </c>
      <c r="B21" s="47"/>
      <c r="C21" s="47"/>
      <c r="D21" s="47"/>
      <c r="E21" s="47"/>
      <c r="F21" s="47"/>
      <c r="G21" s="47"/>
      <c r="H21" s="47"/>
      <c r="I21" s="47"/>
      <c r="J21" s="47"/>
      <c r="K21" s="47"/>
      <c r="L21" s="47"/>
      <c r="M21" s="47"/>
      <c r="N21" s="47"/>
      <c r="O21" s="47"/>
      <c r="P21" s="47"/>
      <c r="Q21" s="47"/>
      <c r="R21" s="47"/>
      <c r="S21" s="47"/>
      <c r="T21" s="47"/>
      <c r="U21" s="47"/>
      <c r="V21" s="47"/>
    </row>
    <row r="22" spans="1:42" x14ac:dyDescent="0.25">
      <c r="A22" s="55"/>
      <c r="B22" s="47"/>
      <c r="C22" s="47"/>
      <c r="D22" s="47"/>
      <c r="E22" s="47"/>
      <c r="F22" s="47"/>
      <c r="G22" s="47"/>
      <c r="H22" s="47"/>
      <c r="I22" s="47"/>
      <c r="J22" s="47"/>
      <c r="K22" s="47"/>
      <c r="L22" s="47"/>
      <c r="M22" s="47"/>
      <c r="N22" s="47"/>
      <c r="O22" s="47"/>
      <c r="P22" s="47"/>
      <c r="Q22" s="47"/>
      <c r="R22" s="47"/>
      <c r="S22" s="47"/>
      <c r="T22" s="47"/>
      <c r="U22" s="47"/>
      <c r="V22" s="47"/>
    </row>
    <row r="23" spans="1:42" x14ac:dyDescent="0.25">
      <c r="A23" s="55"/>
      <c r="B23" s="47"/>
      <c r="C23" s="47"/>
      <c r="D23" s="47"/>
      <c r="E23" s="47"/>
      <c r="F23" s="47"/>
      <c r="G23" s="47"/>
      <c r="H23" s="47"/>
      <c r="I23" s="47"/>
      <c r="J23" s="47"/>
      <c r="K23" s="47"/>
      <c r="L23" s="47"/>
      <c r="M23" s="47"/>
      <c r="N23" s="47"/>
      <c r="O23" s="47"/>
      <c r="P23" s="47"/>
      <c r="Q23" s="47"/>
      <c r="R23" s="47"/>
      <c r="S23" s="47"/>
      <c r="T23" s="47"/>
      <c r="U23" s="47"/>
      <c r="V23" s="47"/>
    </row>
    <row r="24" spans="1:42" x14ac:dyDescent="0.25">
      <c r="A24" s="55" t="s">
        <v>32</v>
      </c>
      <c r="B24" s="93">
        <f>+'IS by Qtr'!B29</f>
        <v>3235</v>
      </c>
      <c r="C24" s="93">
        <f>+'IS by Qtr'!C29</f>
        <v>5373</v>
      </c>
      <c r="D24" s="93">
        <f>+'IS by Qtr'!D29</f>
        <v>4069</v>
      </c>
      <c r="E24" s="93">
        <f>+'IS by Qtr'!E29</f>
        <v>219</v>
      </c>
      <c r="F24" s="93">
        <f>+'IS by Qtr'!F29</f>
        <v>4532</v>
      </c>
      <c r="G24" s="93">
        <f>+'IS by Qtr'!G29</f>
        <v>5780</v>
      </c>
      <c r="H24" s="93">
        <f>+'IS by Qtr'!H29</f>
        <v>4599</v>
      </c>
      <c r="I24" s="93">
        <f>+'IS by Qtr'!I29</f>
        <v>2333</v>
      </c>
      <c r="J24" s="93"/>
      <c r="K24" s="93"/>
      <c r="L24" s="93"/>
      <c r="M24" s="93"/>
      <c r="N24" s="47"/>
      <c r="O24" s="47"/>
      <c r="P24" s="47"/>
      <c r="Q24" s="47"/>
      <c r="R24" s="47"/>
      <c r="S24" s="47"/>
      <c r="T24" s="47"/>
      <c r="U24" s="47"/>
      <c r="V24" s="47"/>
    </row>
    <row r="25" spans="1:42" x14ac:dyDescent="0.25">
      <c r="A25" s="55"/>
      <c r="B25" s="94">
        <f t="shared" ref="B25:I25" si="11">+B20-B24</f>
        <v>0</v>
      </c>
      <c r="C25" s="94">
        <f t="shared" si="11"/>
        <v>0</v>
      </c>
      <c r="D25" s="94">
        <f t="shared" si="11"/>
        <v>0</v>
      </c>
      <c r="E25" s="94">
        <f t="shared" si="11"/>
        <v>0</v>
      </c>
      <c r="F25" s="94">
        <f t="shared" si="11"/>
        <v>0</v>
      </c>
      <c r="G25" s="94">
        <f t="shared" si="11"/>
        <v>0</v>
      </c>
      <c r="H25" s="94">
        <f t="shared" si="11"/>
        <v>0</v>
      </c>
      <c r="I25" s="94">
        <f t="shared" si="11"/>
        <v>0</v>
      </c>
      <c r="J25" s="94">
        <f t="shared" ref="J25:M25" si="12">+J20-J24</f>
        <v>0</v>
      </c>
      <c r="K25" s="94">
        <f t="shared" si="12"/>
        <v>0</v>
      </c>
      <c r="L25" s="94">
        <f t="shared" si="12"/>
        <v>0</v>
      </c>
      <c r="M25" s="94">
        <f t="shared" si="12"/>
        <v>0</v>
      </c>
      <c r="N25" s="47"/>
      <c r="O25" s="47"/>
      <c r="P25" s="47"/>
      <c r="Q25" s="47"/>
      <c r="R25" s="47"/>
      <c r="S25" s="47"/>
      <c r="T25" s="47"/>
      <c r="U25" s="47"/>
      <c r="V25" s="47"/>
    </row>
    <row r="26" spans="1:42" x14ac:dyDescent="0.25">
      <c r="A26" s="55"/>
      <c r="B26" s="47"/>
      <c r="C26" s="47"/>
      <c r="D26" s="47"/>
      <c r="F26" s="47"/>
      <c r="G26" s="47"/>
      <c r="H26" s="47"/>
      <c r="J26" s="47"/>
      <c r="K26" s="47"/>
      <c r="L26" s="47"/>
      <c r="M26" s="47"/>
      <c r="N26" s="47"/>
      <c r="O26" s="47"/>
      <c r="P26" s="47"/>
      <c r="Q26" s="47"/>
      <c r="R26" s="47"/>
      <c r="S26" s="47"/>
      <c r="T26" s="47"/>
      <c r="U26" s="47"/>
      <c r="V26" s="47"/>
    </row>
    <row r="27" spans="1:42" x14ac:dyDescent="0.25">
      <c r="A27" s="55" t="s">
        <v>184</v>
      </c>
      <c r="B27" s="47"/>
      <c r="C27" s="47"/>
      <c r="D27" s="47"/>
      <c r="F27" s="93">
        <f>+'Actual - Summary IS by Qtr'!F20</f>
        <v>4532</v>
      </c>
      <c r="G27" s="47"/>
      <c r="H27" s="47"/>
      <c r="J27" s="93">
        <f>+'Actual - Summary IS by Qtr'!J20</f>
        <v>4550</v>
      </c>
      <c r="K27" s="93">
        <f>+'Actual - Summary IS by Qtr'!K20</f>
        <v>0</v>
      </c>
      <c r="L27" s="93">
        <f>+'Actual - Summary IS by Qtr'!L20</f>
        <v>12896</v>
      </c>
      <c r="M27" s="93">
        <f>+'Actual - Summary IS by Qtr'!M20</f>
        <v>17244</v>
      </c>
      <c r="N27" s="47"/>
      <c r="O27" s="47"/>
      <c r="P27" s="47"/>
      <c r="Q27" s="47"/>
      <c r="R27" s="47"/>
      <c r="S27" s="47"/>
      <c r="T27" s="47"/>
      <c r="U27" s="47"/>
      <c r="V27" s="47"/>
    </row>
    <row r="28" spans="1:42" x14ac:dyDescent="0.25">
      <c r="A28" s="55"/>
      <c r="B28" s="47"/>
      <c r="C28" s="47"/>
      <c r="D28" s="47"/>
      <c r="F28" s="47"/>
      <c r="G28" s="47"/>
      <c r="H28" s="47"/>
      <c r="J28" s="47"/>
      <c r="K28" s="47"/>
      <c r="L28" s="47"/>
      <c r="M28" s="47"/>
      <c r="N28" s="47"/>
      <c r="O28" s="47"/>
      <c r="P28" s="47"/>
      <c r="Q28" s="47"/>
      <c r="R28" s="47"/>
      <c r="S28" s="47"/>
      <c r="T28" s="47"/>
      <c r="U28" s="47"/>
      <c r="V28" s="47"/>
    </row>
    <row r="29" spans="1:42" x14ac:dyDescent="0.25">
      <c r="A29" s="55"/>
      <c r="B29" s="47"/>
      <c r="C29" s="47"/>
      <c r="D29" s="47"/>
      <c r="F29" s="47"/>
      <c r="G29" s="47"/>
      <c r="H29" s="47"/>
      <c r="J29" s="47"/>
      <c r="K29" s="47"/>
      <c r="L29" s="47"/>
      <c r="M29" s="47"/>
      <c r="N29" s="47"/>
      <c r="O29" s="47"/>
      <c r="P29" s="47"/>
      <c r="Q29" s="47"/>
      <c r="R29" s="47"/>
      <c r="S29" s="47"/>
      <c r="T29" s="47"/>
      <c r="U29" s="47"/>
      <c r="V29" s="47"/>
    </row>
    <row r="30" spans="1:42" x14ac:dyDescent="0.25">
      <c r="A30" s="55"/>
      <c r="B30" s="47"/>
      <c r="C30" s="47"/>
      <c r="D30" s="47"/>
      <c r="F30" s="47"/>
      <c r="G30" s="47"/>
      <c r="H30" s="47"/>
      <c r="J30" s="54">
        <f>+J20*0.9</f>
        <v>0</v>
      </c>
      <c r="K30" s="47"/>
      <c r="L30" s="47"/>
      <c r="M30" s="47"/>
      <c r="N30" s="47"/>
      <c r="O30" s="47"/>
      <c r="P30" s="47"/>
      <c r="Q30" s="47"/>
      <c r="R30" s="47"/>
      <c r="S30" s="47"/>
      <c r="T30" s="47"/>
      <c r="U30" s="47"/>
      <c r="V30" s="47"/>
    </row>
    <row r="31" spans="1:42" x14ac:dyDescent="0.25">
      <c r="J31" s="53">
        <f>+J20*1.1</f>
        <v>0</v>
      </c>
    </row>
    <row r="33" spans="4:6" x14ac:dyDescent="0.25">
      <c r="D33" s="46" t="s">
        <v>193</v>
      </c>
      <c r="F33" s="110">
        <v>14.4</v>
      </c>
    </row>
    <row r="34" spans="4:6" x14ac:dyDescent="0.25">
      <c r="D34" s="46" t="s">
        <v>194</v>
      </c>
      <c r="F34" s="53">
        <f>+F10*1000/F33</f>
        <v>5420416.666666667</v>
      </c>
    </row>
    <row r="35" spans="4:6" x14ac:dyDescent="0.25">
      <c r="D35" s="46" t="s">
        <v>195</v>
      </c>
      <c r="F35" s="53">
        <f>+F34/'Forecast - Summary Assumptions'!G11</f>
        <v>76343.896713615031</v>
      </c>
    </row>
    <row r="36" spans="4:6" x14ac:dyDescent="0.25">
      <c r="D36" s="46" t="s">
        <v>196</v>
      </c>
      <c r="F36" s="53">
        <f>+F35/(13*7)</f>
        <v>838.94391992983549</v>
      </c>
    </row>
    <row r="39" spans="4:6" x14ac:dyDescent="0.25">
      <c r="F39" s="53"/>
    </row>
  </sheetData>
  <pageMargins left="0.7" right="0.7" top="0.75" bottom="0.75" header="0.3" footer="0.3"/>
  <pageSetup scale="51" orientation="landscape" r:id="rId1"/>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Normal="100" workbookViewId="0">
      <selection activeCell="S15" sqref="S15"/>
    </sheetView>
  </sheetViews>
  <sheetFormatPr defaultColWidth="8.7109375" defaultRowHeight="15" x14ac:dyDescent="0.25"/>
  <cols>
    <col min="1" max="1" width="42.85546875" style="46" customWidth="1"/>
    <col min="2" max="3" width="11.7109375" style="46" hidden="1" customWidth="1"/>
    <col min="4" max="5" width="11.42578125" style="46" hidden="1" customWidth="1"/>
    <col min="6" max="6" width="10.140625" style="46" hidden="1" customWidth="1"/>
    <col min="7" max="7" width="9.5703125" style="46" customWidth="1"/>
    <col min="8" max="8" width="11" style="46" customWidth="1"/>
    <col min="9" max="9" width="10.5703125" style="46" customWidth="1"/>
    <col min="10" max="10" width="9.5703125" style="46" customWidth="1"/>
    <col min="11" max="11" width="9.85546875" style="46" customWidth="1"/>
    <col min="12" max="14" width="9.85546875" style="46" hidden="1" customWidth="1"/>
    <col min="15" max="16" width="9.85546875" style="46" customWidth="1"/>
    <col min="17" max="17" width="9.7109375" style="46" customWidth="1"/>
    <col min="18" max="18" width="9.5703125" style="46" customWidth="1"/>
    <col min="19" max="20" width="9.28515625" style="46" customWidth="1"/>
    <col min="21" max="16384" width="8.7109375" style="46"/>
  </cols>
  <sheetData>
    <row r="1" spans="1:20" x14ac:dyDescent="0.25">
      <c r="A1" s="46" t="s">
        <v>0</v>
      </c>
    </row>
    <row r="2" spans="1:20" x14ac:dyDescent="0.25">
      <c r="A2" s="46" t="s">
        <v>180</v>
      </c>
    </row>
    <row r="3" spans="1:20" x14ac:dyDescent="0.25">
      <c r="A3" s="46" t="s">
        <v>166</v>
      </c>
    </row>
    <row r="4" spans="1:20" x14ac:dyDescent="0.25">
      <c r="A4" s="55"/>
      <c r="B4" s="55"/>
    </row>
    <row r="5" spans="1:20" x14ac:dyDescent="0.25">
      <c r="A5" s="55"/>
      <c r="B5" s="55"/>
      <c r="C5" s="55"/>
      <c r="D5" s="55"/>
      <c r="E5" s="55"/>
      <c r="F5" s="47"/>
    </row>
    <row r="6" spans="1:20" x14ac:dyDescent="0.25">
      <c r="A6" s="47"/>
      <c r="B6" s="48" t="s">
        <v>65</v>
      </c>
      <c r="C6" s="48" t="s">
        <v>65</v>
      </c>
      <c r="D6" s="48" t="s">
        <v>65</v>
      </c>
      <c r="E6" s="48" t="s">
        <v>65</v>
      </c>
      <c r="F6" s="48" t="s">
        <v>65</v>
      </c>
      <c r="G6" s="48" t="s">
        <v>65</v>
      </c>
      <c r="H6" s="48" t="s">
        <v>65</v>
      </c>
      <c r="I6" s="48" t="s">
        <v>65</v>
      </c>
      <c r="J6" s="48" t="s">
        <v>65</v>
      </c>
      <c r="K6" s="48" t="s">
        <v>51</v>
      </c>
      <c r="L6" s="48" t="s">
        <v>51</v>
      </c>
      <c r="M6" s="48" t="s">
        <v>51</v>
      </c>
      <c r="N6" s="48" t="s">
        <v>51</v>
      </c>
      <c r="R6" s="48" t="s">
        <v>51</v>
      </c>
      <c r="S6" s="48" t="s">
        <v>65</v>
      </c>
      <c r="T6"/>
    </row>
    <row r="7" spans="1:20" x14ac:dyDescent="0.25">
      <c r="A7" s="55" t="s">
        <v>1</v>
      </c>
      <c r="B7" s="49" t="s">
        <v>33</v>
      </c>
      <c r="C7" s="50" t="s">
        <v>36</v>
      </c>
      <c r="D7" s="50" t="s">
        <v>37</v>
      </c>
      <c r="E7" s="50" t="s">
        <v>38</v>
      </c>
      <c r="F7" s="49" t="s">
        <v>33</v>
      </c>
      <c r="G7" s="50" t="s">
        <v>36</v>
      </c>
      <c r="H7" s="50" t="s">
        <v>37</v>
      </c>
      <c r="I7" s="50" t="s">
        <v>38</v>
      </c>
      <c r="J7" s="49" t="s">
        <v>33</v>
      </c>
      <c r="K7" s="50" t="s">
        <v>36</v>
      </c>
      <c r="L7" s="50" t="s">
        <v>37</v>
      </c>
      <c r="M7" s="50" t="s">
        <v>38</v>
      </c>
      <c r="N7" s="49" t="s">
        <v>33</v>
      </c>
      <c r="R7" s="50" t="s">
        <v>36</v>
      </c>
      <c r="S7" s="50" t="s">
        <v>36</v>
      </c>
      <c r="T7"/>
    </row>
    <row r="8" spans="1:20" x14ac:dyDescent="0.25">
      <c r="A8" s="55" t="s">
        <v>1</v>
      </c>
      <c r="B8" s="51" t="s">
        <v>112</v>
      </c>
      <c r="C8" s="51" t="s">
        <v>34</v>
      </c>
      <c r="D8" s="51" t="s">
        <v>34</v>
      </c>
      <c r="E8" s="51" t="s">
        <v>34</v>
      </c>
      <c r="F8" s="51" t="s">
        <v>34</v>
      </c>
      <c r="G8" s="51" t="s">
        <v>39</v>
      </c>
      <c r="H8" s="51" t="s">
        <v>39</v>
      </c>
      <c r="I8" s="51" t="s">
        <v>39</v>
      </c>
      <c r="J8" s="51" t="s">
        <v>39</v>
      </c>
      <c r="K8" s="51" t="s">
        <v>50</v>
      </c>
      <c r="L8" s="51" t="s">
        <v>50</v>
      </c>
      <c r="M8" s="51" t="s">
        <v>50</v>
      </c>
      <c r="N8" s="51" t="s">
        <v>50</v>
      </c>
      <c r="R8" s="51" t="s">
        <v>50</v>
      </c>
      <c r="S8" s="51" t="s">
        <v>50</v>
      </c>
      <c r="T8" s="107" t="s">
        <v>186</v>
      </c>
    </row>
    <row r="9" spans="1:20" x14ac:dyDescent="0.25">
      <c r="A9" s="55"/>
      <c r="B9" s="55"/>
      <c r="C9" s="55"/>
      <c r="D9" s="55"/>
      <c r="E9" s="55"/>
      <c r="F9" s="47"/>
      <c r="J9" s="47"/>
    </row>
    <row r="10" spans="1:20" x14ac:dyDescent="0.25">
      <c r="A10" s="55" t="s">
        <v>86</v>
      </c>
      <c r="B10" s="52">
        <f>+'BS by Qtr'!B12</f>
        <v>3815</v>
      </c>
      <c r="C10" s="52">
        <f>+'BS by Qtr'!C12</f>
        <v>6779</v>
      </c>
      <c r="D10" s="52">
        <f>+'BS by Qtr'!D12</f>
        <v>7634</v>
      </c>
      <c r="E10" s="52">
        <f>+'BS by Qtr'!E12</f>
        <v>10598</v>
      </c>
      <c r="F10" s="52">
        <f>+'BS by Qtr'!F12</f>
        <v>8529</v>
      </c>
      <c r="G10" s="52">
        <f>+'Forecast - Summary CF by Qtr'!F32</f>
        <v>5720</v>
      </c>
      <c r="H10" s="52">
        <f>+'BS by Qtr'!H12</f>
        <v>13769</v>
      </c>
      <c r="I10" s="52">
        <f>+'BS by Qtr'!I12</f>
        <v>13944</v>
      </c>
      <c r="J10" s="52">
        <f>+'BS by Qtr'!J12</f>
        <v>13694</v>
      </c>
      <c r="K10" s="52">
        <f>+'Forecast - Summary CF by Qtr'!J32</f>
        <v>-55974</v>
      </c>
      <c r="L10" s="52" t="e">
        <f>+'Forecast - Summary CF by Qtr'!#REF!</f>
        <v>#REF!</v>
      </c>
      <c r="M10" s="52">
        <f>+'Forecast - Summary CF by Qtr'!O32</f>
        <v>0</v>
      </c>
      <c r="N10" s="52">
        <f>+'Forecast - Summary CF by Qtr'!P32</f>
        <v>-55974</v>
      </c>
      <c r="R10" s="52">
        <f>+K10</f>
        <v>-55974</v>
      </c>
      <c r="S10" s="52">
        <f>+'Actual - Summary BS by Qtr'!K10</f>
        <v>14182</v>
      </c>
      <c r="T10" s="52">
        <f>+R10-S10</f>
        <v>-70156</v>
      </c>
    </row>
    <row r="11" spans="1:20" x14ac:dyDescent="0.25">
      <c r="A11" s="55" t="s">
        <v>169</v>
      </c>
      <c r="B11" s="53">
        <f>+'BS by Qtr'!B13+'BS by Qtr'!B15</f>
        <v>1848</v>
      </c>
      <c r="C11" s="53">
        <f>+'BS by Qtr'!C13+'BS by Qtr'!C15</f>
        <v>1637</v>
      </c>
      <c r="D11" s="53">
        <f>+'BS by Qtr'!D13+'BS by Qtr'!D15</f>
        <v>1727</v>
      </c>
      <c r="E11" s="53">
        <f>+'BS by Qtr'!E13+'BS by Qtr'!E15</f>
        <v>1670</v>
      </c>
      <c r="F11" s="53">
        <f>+'BS by Qtr'!F13+'BS by Qtr'!F15</f>
        <v>2312</v>
      </c>
      <c r="G11" s="53">
        <f>+'Forecast - Summary Assumptions'!G40</f>
        <v>2181</v>
      </c>
      <c r="H11" s="53">
        <f>+'BS by Qtr'!H13+'BS by Qtr'!H15</f>
        <v>2061</v>
      </c>
      <c r="I11" s="53">
        <f>+'BS by Qtr'!I13+'BS by Qtr'!I15</f>
        <v>1981</v>
      </c>
      <c r="J11" s="53">
        <f>+'BS by Qtr'!J13+'BS by Qtr'!J15</f>
        <v>2583</v>
      </c>
      <c r="K11" s="53">
        <f>+'Forecast - Summary Assumptions'!K40</f>
        <v>0</v>
      </c>
      <c r="L11" s="53">
        <f>+'Forecast - Summary Assumptions'!L40</f>
        <v>0</v>
      </c>
      <c r="M11" s="53">
        <f>+'Forecast - Summary Assumptions'!M40</f>
        <v>0</v>
      </c>
      <c r="N11" s="53">
        <f>+'Forecast - Summary Assumptions'!N40</f>
        <v>0</v>
      </c>
      <c r="R11" s="53">
        <f>+K11</f>
        <v>0</v>
      </c>
      <c r="S11" s="53">
        <f>+'Actual - Summary BS by Qtr'!K11</f>
        <v>2298</v>
      </c>
      <c r="T11" s="53">
        <f>+R11-S11</f>
        <v>-2298</v>
      </c>
    </row>
    <row r="12" spans="1:20" x14ac:dyDescent="0.25">
      <c r="A12" s="55" t="s">
        <v>168</v>
      </c>
      <c r="B12" s="72">
        <f>SUM('BS by Qtr'!B13:B17)-B11</f>
        <v>7251</v>
      </c>
      <c r="C12" s="72">
        <f>SUM('BS by Qtr'!C13:C17)-C11</f>
        <v>4382</v>
      </c>
      <c r="D12" s="72">
        <f>SUM('BS by Qtr'!D13:D17)-D11</f>
        <v>5741</v>
      </c>
      <c r="E12" s="72">
        <f>SUM('BS by Qtr'!E13:E17)-E11</f>
        <v>4918</v>
      </c>
      <c r="F12" s="72">
        <f>SUM('BS by Qtr'!F13:F17)-F11</f>
        <v>6382</v>
      </c>
      <c r="G12" s="72">
        <f>+'Forecast - Summary Assumptions'!G45</f>
        <v>6382</v>
      </c>
      <c r="H12" s="72">
        <f>SUM('BS by Qtr'!H13:H17)-H11</f>
        <v>9306</v>
      </c>
      <c r="I12" s="72">
        <f>SUM('BS by Qtr'!I13:I17)-I11</f>
        <v>11982</v>
      </c>
      <c r="J12" s="72">
        <f>SUM('BS by Qtr'!J13:J17)-J11</f>
        <v>11412</v>
      </c>
      <c r="K12" s="72">
        <f>+'Forecast - Summary Assumptions'!K45</f>
        <v>0</v>
      </c>
      <c r="L12" s="72">
        <f>+'Forecast - Summary Assumptions'!L45</f>
        <v>0</v>
      </c>
      <c r="M12" s="72">
        <f>+'Forecast - Summary Assumptions'!M45</f>
        <v>0</v>
      </c>
      <c r="N12" s="72">
        <f>+'Forecast - Summary Assumptions'!N45</f>
        <v>0</v>
      </c>
      <c r="R12" s="72">
        <f>+K12</f>
        <v>0</v>
      </c>
      <c r="S12" s="72">
        <f>+'Actual - Summary BS by Qtr'!K12</f>
        <v>11909</v>
      </c>
      <c r="T12" s="72">
        <f>+R12-S12</f>
        <v>-11909</v>
      </c>
    </row>
    <row r="13" spans="1:20" x14ac:dyDescent="0.25">
      <c r="A13" s="55" t="s">
        <v>92</v>
      </c>
      <c r="B13" s="58">
        <f>SUM(B10:B12)</f>
        <v>12914</v>
      </c>
      <c r="C13" s="58">
        <f t="shared" ref="C13:J13" si="0">SUM(C10:C12)</f>
        <v>12798</v>
      </c>
      <c r="D13" s="58">
        <f t="shared" si="0"/>
        <v>15102</v>
      </c>
      <c r="E13" s="58">
        <f t="shared" si="0"/>
        <v>17186</v>
      </c>
      <c r="F13" s="58">
        <f t="shared" si="0"/>
        <v>17223</v>
      </c>
      <c r="G13" s="58">
        <f t="shared" si="0"/>
        <v>14283</v>
      </c>
      <c r="H13" s="58">
        <f t="shared" si="0"/>
        <v>25136</v>
      </c>
      <c r="I13" s="58">
        <f t="shared" si="0"/>
        <v>27907</v>
      </c>
      <c r="J13" s="58">
        <f t="shared" si="0"/>
        <v>27689</v>
      </c>
      <c r="K13" s="58">
        <f t="shared" ref="K13:N13" si="1">SUM(K10:K12)</f>
        <v>-55974</v>
      </c>
      <c r="L13" s="58" t="e">
        <f t="shared" si="1"/>
        <v>#REF!</v>
      </c>
      <c r="M13" s="58">
        <f t="shared" si="1"/>
        <v>0</v>
      </c>
      <c r="N13" s="58">
        <f t="shared" si="1"/>
        <v>-55974</v>
      </c>
      <c r="R13" s="58">
        <f t="shared" ref="R13:S13" si="2">SUM(R10:R12)</f>
        <v>-55974</v>
      </c>
      <c r="S13" s="58">
        <f t="shared" si="2"/>
        <v>28389</v>
      </c>
      <c r="T13" s="58">
        <f t="shared" ref="T13" si="3">SUM(T10:T12)</f>
        <v>-84363</v>
      </c>
    </row>
    <row r="14" spans="1:20" x14ac:dyDescent="0.25">
      <c r="A14" s="55"/>
      <c r="B14" s="58"/>
      <c r="C14" s="58"/>
      <c r="D14" s="58"/>
      <c r="E14" s="58"/>
      <c r="F14" s="58"/>
      <c r="G14" s="58"/>
      <c r="H14" s="58"/>
      <c r="I14" s="58"/>
      <c r="J14" s="58"/>
      <c r="K14" s="58"/>
      <c r="L14" s="58"/>
      <c r="M14" s="58"/>
      <c r="N14" s="58"/>
      <c r="R14" s="58"/>
      <c r="S14" s="58"/>
      <c r="T14" s="58"/>
    </row>
    <row r="15" spans="1:20" x14ac:dyDescent="0.25">
      <c r="A15" s="55" t="s">
        <v>93</v>
      </c>
      <c r="B15" s="53">
        <f>+'BS by Qtr'!B19</f>
        <v>118807</v>
      </c>
      <c r="C15" s="53">
        <f>+'BS by Qtr'!C19</f>
        <v>122199</v>
      </c>
      <c r="D15" s="53">
        <f>+'BS by Qtr'!D19</f>
        <v>125003</v>
      </c>
      <c r="E15" s="53">
        <f>+'BS by Qtr'!E19</f>
        <v>130236</v>
      </c>
      <c r="F15" s="53">
        <f>+'BS by Qtr'!F19</f>
        <v>136493</v>
      </c>
      <c r="G15" s="53">
        <f>+'Forecast - Summary Assumptions'!G48</f>
        <v>144054</v>
      </c>
      <c r="H15" s="53">
        <f>+'BS by Qtr'!H19</f>
        <v>152472</v>
      </c>
      <c r="I15" s="53">
        <f>+'BS by Qtr'!I19</f>
        <v>159036</v>
      </c>
      <c r="J15" s="53">
        <f>+'BS by Qtr'!J19</f>
        <v>165150</v>
      </c>
      <c r="K15" s="53">
        <f>+'Forecast - Summary Assumptions'!K48</f>
        <v>165150</v>
      </c>
      <c r="L15" s="53">
        <f>+'Forecast - Summary Assumptions'!L48</f>
        <v>165150</v>
      </c>
      <c r="M15" s="53">
        <f>+'Forecast - Summary Assumptions'!M48</f>
        <v>165150</v>
      </c>
      <c r="N15" s="53">
        <f>+'Forecast - Summary Assumptions'!N48</f>
        <v>165150</v>
      </c>
      <c r="R15" s="53">
        <f>+K15</f>
        <v>165150</v>
      </c>
      <c r="S15" s="53">
        <f>+'Actual - Summary BS by Qtr'!K15</f>
        <v>170929</v>
      </c>
      <c r="T15" s="53">
        <f>+R15-S15</f>
        <v>-5779</v>
      </c>
    </row>
    <row r="16" spans="1:20" x14ac:dyDescent="0.25">
      <c r="A16" s="55"/>
      <c r="B16" s="53"/>
      <c r="C16" s="53"/>
      <c r="D16" s="53"/>
      <c r="E16" s="53"/>
      <c r="F16" s="53"/>
      <c r="G16" s="53"/>
      <c r="H16" s="53"/>
      <c r="I16" s="53"/>
      <c r="J16" s="53"/>
      <c r="K16" s="53"/>
      <c r="L16" s="53"/>
      <c r="M16" s="53"/>
      <c r="N16" s="53"/>
      <c r="R16" s="53"/>
      <c r="S16" s="53"/>
      <c r="T16" s="53"/>
    </row>
    <row r="17" spans="1:20" x14ac:dyDescent="0.25">
      <c r="A17" s="55" t="s">
        <v>170</v>
      </c>
      <c r="B17" s="72">
        <f>SUM('BS by Qtr'!B20:B22)</f>
        <v>47491</v>
      </c>
      <c r="C17" s="72">
        <f>SUM('BS by Qtr'!C20:C22)</f>
        <v>47439</v>
      </c>
      <c r="D17" s="72">
        <f>SUM('BS by Qtr'!D20:D22)</f>
        <v>47484</v>
      </c>
      <c r="E17" s="72">
        <f>SUM('BS by Qtr'!E20:E22)</f>
        <v>47638</v>
      </c>
      <c r="F17" s="72">
        <f>SUM('BS by Qtr'!F20:F22)</f>
        <v>47732</v>
      </c>
      <c r="G17" s="72">
        <f>+F17</f>
        <v>47732</v>
      </c>
      <c r="H17" s="72">
        <f>SUM('BS by Qtr'!H20:H22)</f>
        <v>47810</v>
      </c>
      <c r="I17" s="72">
        <f>SUM('BS by Qtr'!I20:I22)</f>
        <v>47813</v>
      </c>
      <c r="J17" s="72">
        <f>SUM('BS by Qtr'!J20:J22)</f>
        <v>47889</v>
      </c>
      <c r="K17" s="72">
        <f t="shared" ref="K17:N17" si="4">+J17</f>
        <v>47889</v>
      </c>
      <c r="L17" s="72">
        <f t="shared" si="4"/>
        <v>47889</v>
      </c>
      <c r="M17" s="72">
        <f t="shared" si="4"/>
        <v>47889</v>
      </c>
      <c r="N17" s="72">
        <f t="shared" si="4"/>
        <v>47889</v>
      </c>
      <c r="R17" s="72">
        <f>+K17</f>
        <v>47889</v>
      </c>
      <c r="S17" s="72">
        <f>+'Actual - Summary BS by Qtr'!K17</f>
        <v>47978</v>
      </c>
      <c r="T17" s="72">
        <f>+R17-S17</f>
        <v>-89</v>
      </c>
    </row>
    <row r="18" spans="1:20" x14ac:dyDescent="0.25">
      <c r="A18" s="55"/>
      <c r="B18" s="77"/>
      <c r="C18" s="77"/>
      <c r="D18" s="77"/>
      <c r="E18" s="77"/>
      <c r="F18" s="77"/>
      <c r="G18" s="77"/>
      <c r="H18" s="77"/>
      <c r="I18" s="77"/>
      <c r="J18" s="77"/>
      <c r="K18" s="77"/>
      <c r="L18" s="77"/>
      <c r="M18" s="77"/>
      <c r="N18" s="77"/>
      <c r="R18" s="77"/>
      <c r="S18" s="77"/>
      <c r="T18" s="77"/>
    </row>
    <row r="19" spans="1:20" ht="15.75" thickBot="1" x14ac:dyDescent="0.3">
      <c r="A19" s="55" t="s">
        <v>97</v>
      </c>
      <c r="B19" s="96">
        <f>SUM(B13:B17)</f>
        <v>179212</v>
      </c>
      <c r="C19" s="96">
        <f t="shared" ref="C19:J19" si="5">SUM(C13:C17)</f>
        <v>182436</v>
      </c>
      <c r="D19" s="96">
        <f t="shared" si="5"/>
        <v>187589</v>
      </c>
      <c r="E19" s="96">
        <f t="shared" si="5"/>
        <v>195060</v>
      </c>
      <c r="F19" s="96">
        <f t="shared" si="5"/>
        <v>201448</v>
      </c>
      <c r="G19" s="96">
        <f t="shared" si="5"/>
        <v>206069</v>
      </c>
      <c r="H19" s="96">
        <f t="shared" si="5"/>
        <v>225418</v>
      </c>
      <c r="I19" s="96">
        <f t="shared" si="5"/>
        <v>234756</v>
      </c>
      <c r="J19" s="96">
        <f t="shared" si="5"/>
        <v>240728</v>
      </c>
      <c r="K19" s="96">
        <f t="shared" ref="K19:N19" si="6">SUM(K13:K17)</f>
        <v>157065</v>
      </c>
      <c r="L19" s="96" t="e">
        <f t="shared" si="6"/>
        <v>#REF!</v>
      </c>
      <c r="M19" s="96">
        <f t="shared" si="6"/>
        <v>213039</v>
      </c>
      <c r="N19" s="96">
        <f t="shared" si="6"/>
        <v>157065</v>
      </c>
      <c r="R19" s="96">
        <f t="shared" ref="R19:S19" si="7">SUM(R13:R17)</f>
        <v>157065</v>
      </c>
      <c r="S19" s="96">
        <f t="shared" si="7"/>
        <v>247296</v>
      </c>
      <c r="T19" s="96">
        <f t="shared" ref="T19" si="8">SUM(T13:T17)</f>
        <v>-90231</v>
      </c>
    </row>
    <row r="20" spans="1:20" ht="15.75" thickTop="1" x14ac:dyDescent="0.25">
      <c r="A20" s="55"/>
    </row>
    <row r="21" spans="1:20" x14ac:dyDescent="0.25">
      <c r="A21" s="55"/>
    </row>
    <row r="22" spans="1:20" x14ac:dyDescent="0.25">
      <c r="A22" s="55" t="s">
        <v>153</v>
      </c>
      <c r="B22" s="52">
        <f>SUM('BS by Qtr'!B26:B29)</f>
        <v>17968</v>
      </c>
      <c r="C22" s="52">
        <f>SUM('BS by Qtr'!C26:C29)</f>
        <v>16544</v>
      </c>
      <c r="D22" s="52">
        <f>SUM('BS by Qtr'!D26:D29)</f>
        <v>21780</v>
      </c>
      <c r="E22" s="52">
        <f>SUM('BS by Qtr'!E26:E29)</f>
        <v>21795</v>
      </c>
      <c r="F22" s="52">
        <f>SUM('BS by Qtr'!F26:F29)</f>
        <v>25008</v>
      </c>
      <c r="G22" s="52">
        <f>+'Forecast - Summary Assumptions'!G53</f>
        <v>21284</v>
      </c>
      <c r="H22" s="52">
        <f>SUM('BS by Qtr'!H26:H29)</f>
        <v>29949</v>
      </c>
      <c r="I22" s="52">
        <f>SUM('BS by Qtr'!I26:I29)</f>
        <v>26396</v>
      </c>
      <c r="J22" s="52">
        <f>SUM('BS by Qtr'!J26:J29)</f>
        <v>28106</v>
      </c>
      <c r="K22" s="52">
        <f>+'Forecast - Summary Assumptions'!K53</f>
        <v>0</v>
      </c>
      <c r="L22" s="52">
        <f>+'Forecast - Summary Assumptions'!L53</f>
        <v>0</v>
      </c>
      <c r="M22" s="52">
        <f>+'Forecast - Summary Assumptions'!M53</f>
        <v>0</v>
      </c>
      <c r="N22" s="52">
        <f>+'Forecast - Summary Assumptions'!N53</f>
        <v>0</v>
      </c>
      <c r="R22" s="52">
        <f>+K22</f>
        <v>0</v>
      </c>
      <c r="S22" s="52">
        <f>+'Actual - Summary BS by Qtr'!K22</f>
        <v>27055</v>
      </c>
      <c r="T22" s="52">
        <f>+R22-S22</f>
        <v>-27055</v>
      </c>
    </row>
    <row r="23" spans="1:20" x14ac:dyDescent="0.25">
      <c r="A23" s="55"/>
      <c r="B23" s="58"/>
      <c r="C23" s="58"/>
      <c r="D23" s="58"/>
      <c r="E23" s="58"/>
      <c r="F23" s="58"/>
      <c r="G23" s="58"/>
      <c r="H23" s="58"/>
      <c r="I23" s="58"/>
      <c r="J23" s="58"/>
      <c r="K23" s="58"/>
      <c r="L23" s="58"/>
      <c r="M23" s="58"/>
      <c r="N23" s="58"/>
      <c r="R23" s="58"/>
      <c r="S23" s="58"/>
      <c r="T23" s="58"/>
    </row>
    <row r="24" spans="1:20" x14ac:dyDescent="0.25">
      <c r="A24" s="55" t="s">
        <v>171</v>
      </c>
      <c r="B24" s="53">
        <f>SUM('BS by Qtr'!B31:B33)</f>
        <v>34306</v>
      </c>
      <c r="C24" s="53">
        <f>SUM('BS by Qtr'!C31:C33)</f>
        <v>35684</v>
      </c>
      <c r="D24" s="53">
        <f>SUM('BS by Qtr'!D31:D33)</f>
        <v>38201</v>
      </c>
      <c r="E24" s="53">
        <f>SUM('BS by Qtr'!E31:E33)</f>
        <v>41060</v>
      </c>
      <c r="F24" s="53">
        <f>SUM('BS by Qtr'!F31:F33)</f>
        <v>43383</v>
      </c>
      <c r="G24" s="53">
        <f>+'Forecast - Summary Assumptions'!G58</f>
        <v>47196</v>
      </c>
      <c r="H24" s="53">
        <f>SUM('BS by Qtr'!H31:H33)</f>
        <v>47663</v>
      </c>
      <c r="I24" s="53">
        <f>SUM('BS by Qtr'!I31:I33)</f>
        <v>54490</v>
      </c>
      <c r="J24" s="53">
        <f>SUM('BS by Qtr'!J31:J33)</f>
        <v>55557</v>
      </c>
      <c r="K24" s="53">
        <f>+'Forecast - Summary Assumptions'!K58</f>
        <v>0</v>
      </c>
      <c r="L24" s="53">
        <f>+'Forecast - Summary Assumptions'!L58</f>
        <v>0</v>
      </c>
      <c r="M24" s="53">
        <f>+'Forecast - Summary Assumptions'!M58</f>
        <v>0</v>
      </c>
      <c r="N24" s="53">
        <f>+'Forecast - Summary Assumptions'!N58</f>
        <v>0</v>
      </c>
      <c r="R24" s="53">
        <f>+K24</f>
        <v>0</v>
      </c>
      <c r="S24" s="53">
        <f>+'Actual - Summary BS by Qtr'!K24</f>
        <v>58373</v>
      </c>
      <c r="T24" s="53">
        <f>+R24-S24</f>
        <v>-58373</v>
      </c>
    </row>
    <row r="25" spans="1:20" x14ac:dyDescent="0.25">
      <c r="A25" s="55" t="s">
        <v>155</v>
      </c>
      <c r="B25" s="72">
        <f>+'BS by Qtr'!B34</f>
        <v>8750</v>
      </c>
      <c r="C25" s="72">
        <f>+'BS by Qtr'!C34</f>
        <v>8500</v>
      </c>
      <c r="D25" s="72">
        <f>+'BS by Qtr'!D34</f>
        <v>0</v>
      </c>
      <c r="E25" s="72">
        <f>+'BS by Qtr'!E34</f>
        <v>0</v>
      </c>
      <c r="F25" s="72">
        <f>+'BS by Qtr'!F34</f>
        <v>0</v>
      </c>
      <c r="G25" s="72">
        <f>+F25+'Forecast - Summary Assumptions'!G61</f>
        <v>0</v>
      </c>
      <c r="H25" s="72">
        <f>+'BS by Qtr'!H34</f>
        <v>0</v>
      </c>
      <c r="I25" s="72">
        <f>+'BS by Qtr'!I34</f>
        <v>0</v>
      </c>
      <c r="J25" s="72">
        <f>+'BS by Qtr'!J34</f>
        <v>0</v>
      </c>
      <c r="K25" s="72">
        <f>+J25+'Forecast - Summary Assumptions'!K61</f>
        <v>0</v>
      </c>
      <c r="L25" s="72">
        <f>+K25+'Forecast - Summary Assumptions'!L61</f>
        <v>0</v>
      </c>
      <c r="M25" s="72">
        <f>+L25+'Forecast - Summary Assumptions'!M61</f>
        <v>0</v>
      </c>
      <c r="N25" s="72">
        <f>+M25+'Forecast - Summary Assumptions'!N61</f>
        <v>0</v>
      </c>
      <c r="R25" s="72">
        <f>+K25</f>
        <v>0</v>
      </c>
      <c r="S25" s="72">
        <f>+'Actual - Summary BS by Qtr'!K25</f>
        <v>0</v>
      </c>
      <c r="T25" s="72">
        <f>+R25-S25</f>
        <v>0</v>
      </c>
    </row>
    <row r="26" spans="1:20" x14ac:dyDescent="0.25">
      <c r="A26" s="55" t="s">
        <v>107</v>
      </c>
      <c r="B26" s="58">
        <f>SUM(B22:B25)</f>
        <v>61024</v>
      </c>
      <c r="C26" s="58">
        <f t="shared" ref="C26:J26" si="9">SUM(C22:C25)</f>
        <v>60728</v>
      </c>
      <c r="D26" s="58">
        <f t="shared" si="9"/>
        <v>59981</v>
      </c>
      <c r="E26" s="58">
        <f t="shared" si="9"/>
        <v>62855</v>
      </c>
      <c r="F26" s="58">
        <f t="shared" si="9"/>
        <v>68391</v>
      </c>
      <c r="G26" s="58">
        <f t="shared" si="9"/>
        <v>68480</v>
      </c>
      <c r="H26" s="58">
        <f t="shared" si="9"/>
        <v>77612</v>
      </c>
      <c r="I26" s="58">
        <f t="shared" si="9"/>
        <v>80886</v>
      </c>
      <c r="J26" s="58">
        <f t="shared" si="9"/>
        <v>83663</v>
      </c>
      <c r="K26" s="58">
        <f t="shared" ref="K26:N26" si="10">SUM(K22:K25)</f>
        <v>0</v>
      </c>
      <c r="L26" s="58">
        <f t="shared" si="10"/>
        <v>0</v>
      </c>
      <c r="M26" s="58">
        <f t="shared" si="10"/>
        <v>0</v>
      </c>
      <c r="N26" s="58">
        <f t="shared" si="10"/>
        <v>0</v>
      </c>
      <c r="R26" s="58">
        <f t="shared" ref="R26:S26" si="11">SUM(R22:R25)</f>
        <v>0</v>
      </c>
      <c r="S26" s="58">
        <f t="shared" si="11"/>
        <v>85428</v>
      </c>
      <c r="T26" s="58">
        <f t="shared" ref="T26" si="12">SUM(T22:T25)</f>
        <v>-85428</v>
      </c>
    </row>
    <row r="27" spans="1:20" x14ac:dyDescent="0.25">
      <c r="A27" s="47"/>
    </row>
    <row r="28" spans="1:20" x14ac:dyDescent="0.25">
      <c r="A28" s="55" t="s">
        <v>172</v>
      </c>
      <c r="B28" s="72">
        <f>+'BS by Qtr'!B42</f>
        <v>118188</v>
      </c>
      <c r="C28" s="72">
        <f>+'BS by Qtr'!C42</f>
        <v>121708</v>
      </c>
      <c r="D28" s="72">
        <f>+'BS by Qtr'!D42</f>
        <v>127608</v>
      </c>
      <c r="E28" s="72">
        <f>+'BS by Qtr'!E42</f>
        <v>132205</v>
      </c>
      <c r="F28" s="72">
        <f>+'BS by Qtr'!F42</f>
        <v>133057</v>
      </c>
      <c r="G28" s="72">
        <f>+F28+'Forecast - Summary IS by Qtr'!F20</f>
        <v>137589</v>
      </c>
      <c r="H28" s="72">
        <f>+'BS by Qtr'!H42</f>
        <v>147806</v>
      </c>
      <c r="I28" s="72">
        <f>+'BS by Qtr'!I42</f>
        <v>153870</v>
      </c>
      <c r="J28" s="72">
        <f>+'BS by Qtr'!J42</f>
        <v>157065</v>
      </c>
      <c r="K28" s="72">
        <f>+J28+'Forecast - Summary IS by Qtr'!J20</f>
        <v>157065</v>
      </c>
      <c r="L28" s="72">
        <f>+K28+'Forecast - Summary IS by Qtr'!O20</f>
        <v>157065</v>
      </c>
      <c r="M28" s="72">
        <f>+L28+'Forecast - Summary IS by Qtr'!P20</f>
        <v>157065</v>
      </c>
      <c r="N28" s="72">
        <f>+M28+'Forecast - Summary IS by Qtr'!Q20</f>
        <v>157065</v>
      </c>
      <c r="R28" s="72">
        <f>+K28</f>
        <v>157065</v>
      </c>
      <c r="S28" s="72">
        <f>+'Actual - Summary BS by Qtr'!K28</f>
        <v>161868</v>
      </c>
      <c r="T28" s="72">
        <f>+R28-S28</f>
        <v>-4803</v>
      </c>
    </row>
    <row r="29" spans="1:20" x14ac:dyDescent="0.25">
      <c r="A29" s="55"/>
      <c r="B29" s="77"/>
      <c r="C29" s="77"/>
      <c r="D29" s="77"/>
      <c r="E29" s="77"/>
      <c r="F29" s="77"/>
      <c r="G29" s="77"/>
      <c r="H29" s="77"/>
      <c r="I29" s="77"/>
      <c r="J29" s="77"/>
      <c r="K29" s="77"/>
      <c r="L29" s="77"/>
      <c r="M29" s="77"/>
      <c r="N29" s="77"/>
      <c r="R29" s="77"/>
      <c r="S29" s="77"/>
      <c r="T29" s="77"/>
    </row>
    <row r="30" spans="1:20" ht="15.75" thickBot="1" x14ac:dyDescent="0.3">
      <c r="A30" s="55" t="s">
        <v>111</v>
      </c>
      <c r="B30" s="96">
        <f>+B26+B28</f>
        <v>179212</v>
      </c>
      <c r="C30" s="96">
        <f t="shared" ref="C30:J30" si="13">+C26+C28</f>
        <v>182436</v>
      </c>
      <c r="D30" s="96">
        <f t="shared" si="13"/>
        <v>187589</v>
      </c>
      <c r="E30" s="96">
        <f t="shared" si="13"/>
        <v>195060</v>
      </c>
      <c r="F30" s="96">
        <f t="shared" si="13"/>
        <v>201448</v>
      </c>
      <c r="G30" s="96">
        <f t="shared" si="13"/>
        <v>206069</v>
      </c>
      <c r="H30" s="96">
        <f t="shared" si="13"/>
        <v>225418</v>
      </c>
      <c r="I30" s="96">
        <f t="shared" si="13"/>
        <v>234756</v>
      </c>
      <c r="J30" s="96">
        <f t="shared" si="13"/>
        <v>240728</v>
      </c>
      <c r="K30" s="96">
        <f t="shared" ref="K30:N30" si="14">+K26+K28</f>
        <v>157065</v>
      </c>
      <c r="L30" s="96">
        <f t="shared" si="14"/>
        <v>157065</v>
      </c>
      <c r="M30" s="96">
        <f t="shared" si="14"/>
        <v>157065</v>
      </c>
      <c r="N30" s="96">
        <f t="shared" si="14"/>
        <v>157065</v>
      </c>
      <c r="R30" s="96">
        <f t="shared" ref="R30:S30" si="15">+R26+R28</f>
        <v>157065</v>
      </c>
      <c r="S30" s="96">
        <f t="shared" si="15"/>
        <v>247296</v>
      </c>
      <c r="T30" s="96">
        <f t="shared" ref="T30" si="16">+T26+T28</f>
        <v>-90231</v>
      </c>
    </row>
    <row r="31" spans="1:20" ht="15.75" thickTop="1" x14ac:dyDescent="0.25"/>
    <row r="33" spans="1:20" x14ac:dyDescent="0.25">
      <c r="B33" s="52">
        <f t="shared" ref="B33:J33" si="17">+B19-B30</f>
        <v>0</v>
      </c>
      <c r="C33" s="52">
        <f t="shared" si="17"/>
        <v>0</v>
      </c>
      <c r="D33" s="52">
        <f t="shared" si="17"/>
        <v>0</v>
      </c>
      <c r="E33" s="52">
        <f t="shared" si="17"/>
        <v>0</v>
      </c>
      <c r="F33" s="52">
        <f t="shared" si="17"/>
        <v>0</v>
      </c>
      <c r="G33" s="52">
        <f t="shared" si="17"/>
        <v>0</v>
      </c>
      <c r="H33" s="52">
        <f t="shared" si="17"/>
        <v>0</v>
      </c>
      <c r="I33" s="52">
        <f t="shared" si="17"/>
        <v>0</v>
      </c>
      <c r="J33" s="52">
        <f t="shared" si="17"/>
        <v>0</v>
      </c>
      <c r="K33" s="52">
        <f t="shared" ref="K33:N33" si="18">+K19-K30</f>
        <v>0</v>
      </c>
      <c r="L33" s="52" t="e">
        <f t="shared" si="18"/>
        <v>#REF!</v>
      </c>
      <c r="M33" s="52">
        <f t="shared" si="18"/>
        <v>55974</v>
      </c>
      <c r="N33" s="52">
        <f t="shared" si="18"/>
        <v>0</v>
      </c>
      <c r="R33" s="52">
        <f t="shared" ref="R33:T33" si="19">+R19-R30</f>
        <v>0</v>
      </c>
      <c r="S33" s="52">
        <f t="shared" si="19"/>
        <v>0</v>
      </c>
      <c r="T33" s="52">
        <f t="shared" si="19"/>
        <v>0</v>
      </c>
    </row>
    <row r="34" spans="1:20" x14ac:dyDescent="0.25">
      <c r="B34" s="52">
        <f>+'BS by Qtr'!B43</f>
        <v>179212</v>
      </c>
      <c r="C34" s="52">
        <f>+'BS by Qtr'!C43</f>
        <v>182436</v>
      </c>
      <c r="D34" s="52">
        <f>+'BS by Qtr'!D43</f>
        <v>187589</v>
      </c>
      <c r="E34" s="52">
        <f>+'BS by Qtr'!E43</f>
        <v>195060</v>
      </c>
      <c r="F34" s="52">
        <f>+'BS by Qtr'!F43</f>
        <v>201448</v>
      </c>
      <c r="G34" s="52">
        <f>+'BS by Qtr'!G43</f>
        <v>206521</v>
      </c>
      <c r="H34" s="52">
        <f>+'BS by Qtr'!H43</f>
        <v>225418</v>
      </c>
      <c r="I34" s="52">
        <f>+'BS by Qtr'!I43</f>
        <v>234756</v>
      </c>
      <c r="J34" s="52">
        <f>+'BS by Qtr'!J43</f>
        <v>240728</v>
      </c>
      <c r="K34" s="52">
        <f>+'BS by Qtr'!K43</f>
        <v>247296</v>
      </c>
      <c r="L34" s="52">
        <f>+'BS by Qtr'!L43</f>
        <v>0</v>
      </c>
      <c r="M34" s="52">
        <f>+'BS by Qtr'!M43</f>
        <v>0</v>
      </c>
      <c r="N34" s="52">
        <f>+'BS by Qtr'!N43</f>
        <v>0</v>
      </c>
      <c r="S34" s="52">
        <f>+'Actual - Summary BS by Qtr'!G30</f>
        <v>206521</v>
      </c>
    </row>
    <row r="38" spans="1:20" x14ac:dyDescent="0.25">
      <c r="A38" s="46" t="s">
        <v>150</v>
      </c>
      <c r="C38" s="53">
        <f>+B15</f>
        <v>118807</v>
      </c>
      <c r="K38" s="53">
        <f>+K10*0.9</f>
        <v>-50376.6</v>
      </c>
    </row>
    <row r="39" spans="1:20" x14ac:dyDescent="0.25">
      <c r="A39" s="46" t="s">
        <v>149</v>
      </c>
      <c r="C39" s="53">
        <f>-'CF by Qtr'!B15</f>
        <v>-2998</v>
      </c>
      <c r="K39" s="53">
        <f>+K10*1.1</f>
        <v>-61571.4</v>
      </c>
    </row>
    <row r="41" spans="1:20" x14ac:dyDescent="0.25">
      <c r="A41" s="46" t="s">
        <v>151</v>
      </c>
      <c r="C41" s="53">
        <f>+C15</f>
        <v>122199</v>
      </c>
    </row>
    <row r="43" spans="1:20" x14ac:dyDescent="0.25">
      <c r="C43" s="53">
        <f>+C38+C39-C41</f>
        <v>-6390</v>
      </c>
    </row>
  </sheetData>
  <pageMargins left="0.7" right="0.7" top="0.75" bottom="0.75" header="0.3" footer="0.3"/>
  <pageSetup scale="5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topLeftCell="A16" zoomScaleNormal="100" workbookViewId="0">
      <selection activeCell="A38" sqref="A38:A41"/>
    </sheetView>
  </sheetViews>
  <sheetFormatPr defaultColWidth="8.7109375" defaultRowHeight="15" x14ac:dyDescent="0.25"/>
  <cols>
    <col min="1" max="1" width="53.85546875" style="46" customWidth="1"/>
    <col min="2" max="2" width="14.140625" style="46" hidden="1" customWidth="1"/>
    <col min="3" max="3" width="12.42578125" style="46" hidden="1" customWidth="1"/>
    <col min="4" max="4" width="12.5703125" style="46" hidden="1" customWidth="1"/>
    <col min="5" max="5" width="11.5703125" style="46" hidden="1" customWidth="1"/>
    <col min="6" max="6" width="9.5703125" style="46" customWidth="1"/>
    <col min="7" max="7" width="11" style="46" customWidth="1"/>
    <col min="8" max="9" width="10.5703125" style="46" customWidth="1"/>
    <col min="10" max="10" width="10.28515625" style="46" customWidth="1"/>
    <col min="11" max="13" width="10.28515625" style="46" hidden="1" customWidth="1"/>
    <col min="14" max="14" width="10.28515625" style="46" customWidth="1"/>
    <col min="15" max="15" width="9.28515625" style="46" customWidth="1"/>
    <col min="16" max="20" width="11.85546875" style="46" customWidth="1"/>
    <col min="21" max="21" width="10.28515625" style="46" customWidth="1"/>
    <col min="22" max="24" width="12.85546875" style="46" customWidth="1"/>
    <col min="25" max="25" width="43.140625" style="46" customWidth="1"/>
    <col min="26" max="26" width="9.7109375" style="46" customWidth="1"/>
    <col min="27" max="27" width="49" style="46" customWidth="1"/>
    <col min="28" max="16384" width="8.7109375" style="46"/>
  </cols>
  <sheetData>
    <row r="1" spans="1:21" x14ac:dyDescent="0.25">
      <c r="A1" s="46" t="s">
        <v>0</v>
      </c>
    </row>
    <row r="2" spans="1:21" x14ac:dyDescent="0.25">
      <c r="A2" s="46" t="s">
        <v>181</v>
      </c>
    </row>
    <row r="3" spans="1:21" x14ac:dyDescent="0.25">
      <c r="A3" s="46" t="s">
        <v>166</v>
      </c>
    </row>
    <row r="4" spans="1:21" x14ac:dyDescent="0.25">
      <c r="A4" s="55"/>
    </row>
    <row r="5" spans="1:21" x14ac:dyDescent="0.25">
      <c r="A5" s="55"/>
      <c r="B5" s="55"/>
      <c r="C5" s="55"/>
      <c r="D5" s="55"/>
      <c r="E5" s="47"/>
    </row>
    <row r="6" spans="1:21" x14ac:dyDescent="0.25">
      <c r="A6" s="47"/>
      <c r="B6" s="48" t="s">
        <v>65</v>
      </c>
      <c r="C6" s="48" t="s">
        <v>65</v>
      </c>
      <c r="D6" s="48" t="s">
        <v>65</v>
      </c>
      <c r="E6" s="48" t="s">
        <v>65</v>
      </c>
      <c r="F6" s="48" t="s">
        <v>65</v>
      </c>
      <c r="G6" s="48" t="s">
        <v>65</v>
      </c>
      <c r="H6" s="48" t="s">
        <v>65</v>
      </c>
      <c r="I6" s="48" t="s">
        <v>65</v>
      </c>
      <c r="J6" s="48" t="s">
        <v>51</v>
      </c>
      <c r="K6" s="48" t="s">
        <v>51</v>
      </c>
      <c r="L6" s="48" t="s">
        <v>51</v>
      </c>
      <c r="M6" s="48" t="s">
        <v>51</v>
      </c>
      <c r="P6" s="48" t="s">
        <v>51</v>
      </c>
      <c r="Q6" s="48" t="s">
        <v>65</v>
      </c>
      <c r="R6"/>
      <c r="T6" s="48" t="s">
        <v>65</v>
      </c>
      <c r="U6" s="48" t="s">
        <v>51</v>
      </c>
    </row>
    <row r="7" spans="1:21" x14ac:dyDescent="0.25">
      <c r="A7" s="55" t="s">
        <v>1</v>
      </c>
      <c r="B7" s="50" t="s">
        <v>36</v>
      </c>
      <c r="C7" s="50" t="s">
        <v>37</v>
      </c>
      <c r="D7" s="50" t="s">
        <v>38</v>
      </c>
      <c r="E7" s="49" t="s">
        <v>33</v>
      </c>
      <c r="F7" s="50" t="s">
        <v>36</v>
      </c>
      <c r="G7" s="50" t="s">
        <v>37</v>
      </c>
      <c r="H7" s="50" t="s">
        <v>38</v>
      </c>
      <c r="I7" s="49" t="s">
        <v>33</v>
      </c>
      <c r="J7" s="50" t="s">
        <v>36</v>
      </c>
      <c r="K7" s="50" t="s">
        <v>37</v>
      </c>
      <c r="L7" s="50" t="s">
        <v>38</v>
      </c>
      <c r="M7" s="49" t="s">
        <v>33</v>
      </c>
      <c r="P7" s="50" t="s">
        <v>36</v>
      </c>
      <c r="Q7" s="50" t="s">
        <v>36</v>
      </c>
      <c r="R7"/>
      <c r="T7" s="49" t="s">
        <v>161</v>
      </c>
      <c r="U7" s="49" t="s">
        <v>161</v>
      </c>
    </row>
    <row r="8" spans="1:21" x14ac:dyDescent="0.25">
      <c r="A8" s="55" t="s">
        <v>1</v>
      </c>
      <c r="B8" s="51" t="s">
        <v>34</v>
      </c>
      <c r="C8" s="51" t="s">
        <v>34</v>
      </c>
      <c r="D8" s="51" t="s">
        <v>34</v>
      </c>
      <c r="E8" s="51" t="s">
        <v>34</v>
      </c>
      <c r="F8" s="51" t="s">
        <v>39</v>
      </c>
      <c r="G8" s="51" t="s">
        <v>39</v>
      </c>
      <c r="H8" s="51" t="s">
        <v>39</v>
      </c>
      <c r="I8" s="51" t="s">
        <v>39</v>
      </c>
      <c r="J8" s="51" t="s">
        <v>50</v>
      </c>
      <c r="K8" s="51" t="s">
        <v>50</v>
      </c>
      <c r="L8" s="51" t="s">
        <v>50</v>
      </c>
      <c r="M8" s="51" t="s">
        <v>50</v>
      </c>
      <c r="P8" s="51" t="s">
        <v>50</v>
      </c>
      <c r="Q8" s="51" t="s">
        <v>50</v>
      </c>
      <c r="R8" s="107" t="s">
        <v>186</v>
      </c>
      <c r="T8" s="51" t="s">
        <v>34</v>
      </c>
      <c r="U8" s="51" t="s">
        <v>39</v>
      </c>
    </row>
    <row r="9" spans="1:21" x14ac:dyDescent="0.25">
      <c r="A9" s="55" t="s">
        <v>1</v>
      </c>
      <c r="B9" s="55"/>
      <c r="C9" s="55"/>
      <c r="D9" s="55"/>
      <c r="E9" s="47"/>
      <c r="I9" s="47"/>
    </row>
    <row r="10" spans="1:21" x14ac:dyDescent="0.25">
      <c r="A10" s="55" t="s">
        <v>19</v>
      </c>
      <c r="B10" s="67">
        <f>+'CF by Qtr'!B12</f>
        <v>3235</v>
      </c>
      <c r="C10" s="67">
        <f>+'CF by Qtr'!C12</f>
        <v>5373</v>
      </c>
      <c r="D10" s="67">
        <f>+'CF by Qtr'!D12</f>
        <v>4069</v>
      </c>
      <c r="E10" s="67">
        <f>+'CF by Qtr'!E12</f>
        <v>219</v>
      </c>
      <c r="F10" s="67">
        <f>+'Forecast - Summary IS by Qtr'!F20</f>
        <v>4532</v>
      </c>
      <c r="G10" s="67">
        <f>+'CF by Qtr'!G12</f>
        <v>5780</v>
      </c>
      <c r="H10" s="67">
        <f>+'CF by Qtr'!H12</f>
        <v>4599</v>
      </c>
      <c r="I10" s="67">
        <f>+'CF by Qtr'!I12</f>
        <v>2333</v>
      </c>
      <c r="J10" s="67">
        <f>+'Forecast - Summary IS by Qtr'!J20</f>
        <v>0</v>
      </c>
      <c r="K10" s="67">
        <f>+'Forecast - Summary IS by Qtr'!O20</f>
        <v>0</v>
      </c>
      <c r="L10" s="67">
        <f>+'Forecast - Summary IS by Qtr'!P20</f>
        <v>0</v>
      </c>
      <c r="M10" s="67">
        <f>+'Forecast - Summary IS by Qtr'!Q20</f>
        <v>0</v>
      </c>
      <c r="P10" s="67">
        <f t="shared" ref="P10:P17" si="0">+J10</f>
        <v>0</v>
      </c>
      <c r="Q10" s="67">
        <f>+'Actual - Summary CF by Qtr'!J10</f>
        <v>4550</v>
      </c>
      <c r="R10" s="67">
        <f>+P10-Q10</f>
        <v>-4550</v>
      </c>
      <c r="T10" s="65">
        <f t="shared" ref="T10:T17" si="1">SUM(B10:E10)</f>
        <v>12896</v>
      </c>
      <c r="U10" s="65">
        <f t="shared" ref="U10:U17" si="2">SUM(F10:I10)</f>
        <v>17244</v>
      </c>
    </row>
    <row r="11" spans="1:21" x14ac:dyDescent="0.25">
      <c r="A11" s="55" t="s">
        <v>13</v>
      </c>
      <c r="B11" s="58">
        <f>+'CF by Qtr'!B15</f>
        <v>2998</v>
      </c>
      <c r="C11" s="58">
        <f>+'CF by Qtr'!C15</f>
        <v>3194</v>
      </c>
      <c r="D11" s="58">
        <f>+'CF by Qtr'!D15</f>
        <v>3230</v>
      </c>
      <c r="E11" s="58">
        <f>+'CF by Qtr'!E15</f>
        <v>3405</v>
      </c>
      <c r="F11" s="58">
        <f>+'Forecast - Summary IS by Qtr'!F15</f>
        <v>3492</v>
      </c>
      <c r="G11" s="58">
        <f>+'CF by Qtr'!G15</f>
        <v>3707</v>
      </c>
      <c r="H11" s="58">
        <f>+'CF by Qtr'!H15</f>
        <v>3821</v>
      </c>
      <c r="I11" s="58">
        <f>+'CF by Qtr'!I15</f>
        <v>4076</v>
      </c>
      <c r="J11" s="58">
        <f>+'Forecast - Summary IS by Qtr'!J15</f>
        <v>0</v>
      </c>
      <c r="K11" s="58">
        <f>+'Forecast - Summary IS by Qtr'!O15</f>
        <v>0</v>
      </c>
      <c r="L11" s="58">
        <f>+'Forecast - Summary IS by Qtr'!P15</f>
        <v>0</v>
      </c>
      <c r="M11" s="58">
        <f>+'Forecast - Summary IS by Qtr'!Q15</f>
        <v>0</v>
      </c>
      <c r="P11" s="58">
        <f t="shared" si="0"/>
        <v>0</v>
      </c>
      <c r="Q11" s="58">
        <f>+'Actual - Summary CF by Qtr'!J11</f>
        <v>4161</v>
      </c>
      <c r="R11" s="58">
        <f>+P11-Q11</f>
        <v>-4161</v>
      </c>
      <c r="T11" s="53">
        <f t="shared" si="1"/>
        <v>12827</v>
      </c>
      <c r="U11" s="53">
        <f t="shared" si="2"/>
        <v>15096</v>
      </c>
    </row>
    <row r="12" spans="1:21" x14ac:dyDescent="0.25">
      <c r="A12" s="46" t="s">
        <v>30</v>
      </c>
      <c r="B12" s="58">
        <f>+'CF by Qtr'!B17</f>
        <v>0</v>
      </c>
      <c r="C12" s="58">
        <f>+'CF by Qtr'!C17</f>
        <v>0</v>
      </c>
      <c r="D12" s="58">
        <f>+'CF by Qtr'!D17</f>
        <v>0</v>
      </c>
      <c r="E12" s="58">
        <f>+'CF by Qtr'!E17</f>
        <v>4360</v>
      </c>
      <c r="F12" s="58">
        <f>+'Forecast - Summary IS by Qtr'!F14</f>
        <v>0</v>
      </c>
      <c r="G12" s="58">
        <f>+'CF by Qtr'!G17</f>
        <v>0</v>
      </c>
      <c r="H12" s="58">
        <f>+'CF by Qtr'!H17</f>
        <v>269</v>
      </c>
      <c r="I12" s="58">
        <f>+'CF by Qtr'!I17</f>
        <v>1098</v>
      </c>
      <c r="J12" s="58">
        <f>+'Forecast - Summary IS by Qtr'!J14</f>
        <v>0</v>
      </c>
      <c r="K12" s="58">
        <f>+'Forecast - Summary IS by Qtr'!O14</f>
        <v>0</v>
      </c>
      <c r="L12" s="58">
        <f>+'Forecast - Summary IS by Qtr'!P14</f>
        <v>0</v>
      </c>
      <c r="M12" s="58">
        <f>+'Forecast - Summary IS by Qtr'!Q14</f>
        <v>0</v>
      </c>
      <c r="P12" s="58">
        <f t="shared" si="0"/>
        <v>0</v>
      </c>
      <c r="Q12" s="58">
        <f>+'Actual - Summary CF by Qtr'!J12</f>
        <v>0</v>
      </c>
      <c r="R12" s="58">
        <f t="shared" ref="R12:R17" si="3">+P12-Q12</f>
        <v>0</v>
      </c>
      <c r="T12" s="53">
        <f t="shared" si="1"/>
        <v>4360</v>
      </c>
      <c r="U12" s="53">
        <f t="shared" si="2"/>
        <v>1367</v>
      </c>
    </row>
    <row r="13" spans="1:21" x14ac:dyDescent="0.25">
      <c r="A13" s="55" t="s">
        <v>169</v>
      </c>
      <c r="B13" s="58">
        <f>+'CF by Qtr'!B25+'CF by Qtr'!B24</f>
        <v>211</v>
      </c>
      <c r="C13" s="58">
        <f>+'CF by Qtr'!C25+'CF by Qtr'!C24</f>
        <v>-90</v>
      </c>
      <c r="D13" s="58">
        <f>+'CF by Qtr'!D25+'CF by Qtr'!D24</f>
        <v>57</v>
      </c>
      <c r="E13" s="58">
        <f>+'CF by Qtr'!E25+'CF by Qtr'!E24</f>
        <v>-642</v>
      </c>
      <c r="F13" s="58">
        <f>+'Forecast - Summary BS by Qtr'!F11-'Forecast - Summary BS by Qtr'!G11</f>
        <v>131</v>
      </c>
      <c r="G13" s="58">
        <f>+'CF by Qtr'!G25+'CF by Qtr'!G24</f>
        <v>120</v>
      </c>
      <c r="H13" s="58">
        <f>+'CF by Qtr'!H25+'CF by Qtr'!H24</f>
        <v>72</v>
      </c>
      <c r="I13" s="58">
        <f>+'CF by Qtr'!I25+'CF by Qtr'!I24</f>
        <v>-602</v>
      </c>
      <c r="J13" s="58">
        <f>+'Forecast - Summary BS by Qtr'!J11-'Forecast - Summary BS by Qtr'!K11</f>
        <v>2583</v>
      </c>
      <c r="K13" s="58">
        <f>+'Forecast - Summary BS by Qtr'!K11-'Forecast - Summary BS by Qtr'!L11</f>
        <v>0</v>
      </c>
      <c r="L13" s="58">
        <f>+'Forecast - Summary BS by Qtr'!L11-'Forecast - Summary BS by Qtr'!M11</f>
        <v>0</v>
      </c>
      <c r="M13" s="58">
        <f>+'Forecast - Summary BS by Qtr'!M11-'Forecast - Summary BS by Qtr'!N11</f>
        <v>0</v>
      </c>
      <c r="P13" s="58">
        <f t="shared" si="0"/>
        <v>2583</v>
      </c>
      <c r="Q13" s="58">
        <f>+'Actual - Summary CF by Qtr'!J13</f>
        <v>285</v>
      </c>
      <c r="R13" s="58">
        <f t="shared" si="3"/>
        <v>2298</v>
      </c>
      <c r="T13" s="53">
        <f t="shared" si="1"/>
        <v>-464</v>
      </c>
      <c r="U13" s="53">
        <f t="shared" si="2"/>
        <v>-279</v>
      </c>
    </row>
    <row r="14" spans="1:21" x14ac:dyDescent="0.25">
      <c r="A14" s="55" t="s">
        <v>168</v>
      </c>
      <c r="B14" s="58">
        <f>+'CF by Qtr'!B27</f>
        <v>784</v>
      </c>
      <c r="C14" s="58">
        <f>+'CF by Qtr'!C27</f>
        <v>-1359</v>
      </c>
      <c r="D14" s="58">
        <f>+'CF by Qtr'!D27</f>
        <v>-237</v>
      </c>
      <c r="E14" s="58">
        <f>+'CF by Qtr'!E27</f>
        <v>1260</v>
      </c>
      <c r="F14" s="58">
        <f>+'Forecast - Summary BS by Qtr'!F12-'Forecast - Summary BS by Qtr'!G12</f>
        <v>0</v>
      </c>
      <c r="G14" s="58">
        <f>+'CF by Qtr'!G27</f>
        <v>-941</v>
      </c>
      <c r="H14" s="58">
        <f>+'CF by Qtr'!H27</f>
        <v>44</v>
      </c>
      <c r="I14" s="58">
        <f>+'CF by Qtr'!I27</f>
        <v>-384</v>
      </c>
      <c r="J14" s="58">
        <f>+'Forecast - Summary BS by Qtr'!J12-'Forecast - Summary BS by Qtr'!K12</f>
        <v>11412</v>
      </c>
      <c r="K14" s="58">
        <f>+'Forecast - Summary BS by Qtr'!K12-'Forecast - Summary BS by Qtr'!L12</f>
        <v>0</v>
      </c>
      <c r="L14" s="58">
        <f>+'Forecast - Summary BS by Qtr'!L12-'Forecast - Summary BS by Qtr'!M12</f>
        <v>0</v>
      </c>
      <c r="M14" s="58">
        <f>+'Forecast - Summary BS by Qtr'!M12-'Forecast - Summary BS by Qtr'!N12</f>
        <v>0</v>
      </c>
      <c r="P14" s="58">
        <f t="shared" si="0"/>
        <v>11412</v>
      </c>
      <c r="Q14" s="58">
        <f>+'Actual - Summary CF by Qtr'!J14</f>
        <v>17</v>
      </c>
      <c r="R14" s="58">
        <f t="shared" si="3"/>
        <v>11395</v>
      </c>
      <c r="T14" s="53">
        <f t="shared" si="1"/>
        <v>448</v>
      </c>
      <c r="U14" s="53">
        <f t="shared" si="2"/>
        <v>-1281</v>
      </c>
    </row>
    <row r="15" spans="1:21" x14ac:dyDescent="0.25">
      <c r="A15" s="55" t="s">
        <v>153</v>
      </c>
      <c r="B15" s="58">
        <f>+'CF by Qtr'!B28+'CF by Qtr'!B29</f>
        <v>-2152</v>
      </c>
      <c r="C15" s="58">
        <f>+'CF by Qtr'!C28+'CF by Qtr'!C29</f>
        <v>4640</v>
      </c>
      <c r="D15" s="58">
        <f>+'CF by Qtr'!D28+'CF by Qtr'!D29</f>
        <v>-400</v>
      </c>
      <c r="E15" s="58">
        <f>+'CF by Qtr'!E28+'CF by Qtr'!E29</f>
        <v>2371</v>
      </c>
      <c r="F15" s="58">
        <f>+'Forecast - Summary BS by Qtr'!G22-'Forecast - Summary BS by Qtr'!F22</f>
        <v>-3724</v>
      </c>
      <c r="G15" s="58">
        <f>+'CF by Qtr'!G28+'CF by Qtr'!G29</f>
        <v>11180</v>
      </c>
      <c r="H15" s="58">
        <f>+'CF by Qtr'!H28+'CF by Qtr'!H29</f>
        <v>-2706</v>
      </c>
      <c r="I15" s="58">
        <f>+'CF by Qtr'!I28+'CF by Qtr'!I29</f>
        <v>809</v>
      </c>
      <c r="J15" s="58">
        <f>+'Forecast - Summary BS by Qtr'!K22-'Forecast - Summary BS by Qtr'!J22</f>
        <v>-28106</v>
      </c>
      <c r="K15" s="58">
        <f>+'Forecast - Summary BS by Qtr'!L22-'Forecast - Summary BS by Qtr'!K22</f>
        <v>0</v>
      </c>
      <c r="L15" s="58">
        <f>+'Forecast - Summary BS by Qtr'!M22-'Forecast - Summary BS by Qtr'!L22</f>
        <v>0</v>
      </c>
      <c r="M15" s="58">
        <f>+'Forecast - Summary BS by Qtr'!N22-'Forecast - Summary BS by Qtr'!M22</f>
        <v>0</v>
      </c>
      <c r="P15" s="58">
        <f t="shared" si="0"/>
        <v>-28106</v>
      </c>
      <c r="Q15" s="58">
        <f>+'Actual - Summary CF by Qtr'!J15</f>
        <v>-3242</v>
      </c>
      <c r="R15" s="58">
        <f t="shared" si="3"/>
        <v>-24864</v>
      </c>
      <c r="T15" s="53">
        <f t="shared" si="1"/>
        <v>4459</v>
      </c>
      <c r="U15" s="53">
        <f t="shared" si="2"/>
        <v>5559</v>
      </c>
    </row>
    <row r="16" spans="1:21" x14ac:dyDescent="0.25">
      <c r="A16" s="55" t="s">
        <v>177</v>
      </c>
      <c r="B16" s="58">
        <f>+'CF by Qtr'!B30</f>
        <v>2085</v>
      </c>
      <c r="C16" s="58">
        <f>+'CF by Qtr'!C30</f>
        <v>1910</v>
      </c>
      <c r="D16" s="58">
        <f>+'CF by Qtr'!D30</f>
        <v>2228</v>
      </c>
      <c r="E16" s="58">
        <f>+'CF by Qtr'!E30</f>
        <v>1419</v>
      </c>
      <c r="F16" s="58">
        <f>+'Forecast - Summary BS by Qtr'!G24-'Forecast - Summary BS by Qtr'!F24</f>
        <v>3813</v>
      </c>
      <c r="G16" s="58">
        <f>+'CF by Qtr'!G30</f>
        <v>1416</v>
      </c>
      <c r="H16" s="58">
        <f>+'CF by Qtr'!H30</f>
        <v>3113</v>
      </c>
      <c r="I16" s="58">
        <f>+'CF by Qtr'!I30</f>
        <v>2492</v>
      </c>
      <c r="J16" s="58">
        <f>+'Forecast - Summary BS by Qtr'!K24-'Forecast - Summary BS by Qtr'!J24</f>
        <v>-55557</v>
      </c>
      <c r="K16" s="58">
        <f>+'Forecast - Summary BS by Qtr'!L24-'Forecast - Summary BS by Qtr'!K24</f>
        <v>0</v>
      </c>
      <c r="L16" s="58">
        <f>+'Forecast - Summary BS by Qtr'!M24-'Forecast - Summary BS by Qtr'!L24</f>
        <v>0</v>
      </c>
      <c r="M16" s="58">
        <f>+'Forecast - Summary BS by Qtr'!N24-'Forecast - Summary BS by Qtr'!M24</f>
        <v>0</v>
      </c>
      <c r="P16" s="58">
        <f t="shared" si="0"/>
        <v>-55557</v>
      </c>
      <c r="Q16" s="58">
        <f>+'Actual - Summary CF by Qtr'!J16</f>
        <v>565</v>
      </c>
      <c r="R16" s="58">
        <f t="shared" si="3"/>
        <v>-56122</v>
      </c>
      <c r="T16" s="53">
        <f t="shared" si="1"/>
        <v>7642</v>
      </c>
      <c r="U16" s="53">
        <f t="shared" si="2"/>
        <v>10834</v>
      </c>
    </row>
    <row r="17" spans="1:21" x14ac:dyDescent="0.25">
      <c r="A17" s="55" t="s">
        <v>178</v>
      </c>
      <c r="B17" s="58">
        <f>+'CF by Qtr'!B32-SUM('Forecast - Summary CF by Qtr'!B10:B16)</f>
        <v>1392</v>
      </c>
      <c r="C17" s="58">
        <f>+'CF by Qtr'!C32-SUM('Forecast - Summary CF by Qtr'!C10:C16)</f>
        <v>935</v>
      </c>
      <c r="D17" s="58">
        <f>+'CF by Qtr'!D32-SUM('Forecast - Summary CF by Qtr'!D10:D16)</f>
        <v>1682</v>
      </c>
      <c r="E17" s="58">
        <f>+'CF by Qtr'!E32-SUM('Forecast - Summary CF by Qtr'!E10:E16)</f>
        <v>-784</v>
      </c>
      <c r="F17" s="58">
        <v>0</v>
      </c>
      <c r="G17" s="58">
        <f>+'CF by Qtr'!G32-SUM('Forecast - Summary CF by Qtr'!G10:G16)</f>
        <v>-3836</v>
      </c>
      <c r="H17" s="58">
        <f>+'CF by Qtr'!H32-SUM('Forecast - Summary CF by Qtr'!H10:H16)</f>
        <v>1373</v>
      </c>
      <c r="I17" s="58">
        <f>+'CF by Qtr'!I32-SUM('Forecast - Summary CF by Qtr'!I10:I16)</f>
        <v>124</v>
      </c>
      <c r="J17" s="58">
        <v>0</v>
      </c>
      <c r="K17" s="58">
        <v>0</v>
      </c>
      <c r="L17" s="58">
        <v>0</v>
      </c>
      <c r="M17" s="58">
        <v>0</v>
      </c>
      <c r="P17" s="58">
        <f t="shared" si="0"/>
        <v>0</v>
      </c>
      <c r="Q17" s="58">
        <f>+'Actual - Summary CF by Qtr'!J17</f>
        <v>1899</v>
      </c>
      <c r="R17" s="58">
        <f t="shared" si="3"/>
        <v>-1899</v>
      </c>
      <c r="T17" s="53">
        <f t="shared" si="1"/>
        <v>3225</v>
      </c>
      <c r="U17" s="53">
        <f t="shared" si="2"/>
        <v>-2339</v>
      </c>
    </row>
    <row r="18" spans="1:21" x14ac:dyDescent="0.25">
      <c r="A18" s="55"/>
      <c r="B18" s="70"/>
      <c r="C18" s="70"/>
      <c r="D18" s="70"/>
      <c r="E18" s="70"/>
      <c r="F18" s="70"/>
      <c r="G18" s="70"/>
      <c r="H18" s="70"/>
      <c r="I18" s="70"/>
      <c r="J18" s="70"/>
      <c r="K18" s="70"/>
      <c r="L18" s="70"/>
      <c r="M18" s="70"/>
      <c r="P18" s="70"/>
      <c r="Q18" s="70"/>
      <c r="R18" s="70"/>
      <c r="T18" s="72"/>
      <c r="U18" s="72"/>
    </row>
    <row r="19" spans="1:21" x14ac:dyDescent="0.25">
      <c r="A19" s="55" t="s">
        <v>126</v>
      </c>
      <c r="B19" s="100">
        <f>SUM(B10:B18)</f>
        <v>8553</v>
      </c>
      <c r="C19" s="100">
        <f t="shared" ref="C19:I19" si="4">SUM(C10:C18)</f>
        <v>14603</v>
      </c>
      <c r="D19" s="100">
        <f t="shared" si="4"/>
        <v>10629</v>
      </c>
      <c r="E19" s="100">
        <f t="shared" si="4"/>
        <v>11608</v>
      </c>
      <c r="F19" s="100">
        <f t="shared" si="4"/>
        <v>8244</v>
      </c>
      <c r="G19" s="100">
        <f t="shared" si="4"/>
        <v>17426</v>
      </c>
      <c r="H19" s="100">
        <f t="shared" si="4"/>
        <v>10585</v>
      </c>
      <c r="I19" s="100">
        <f t="shared" si="4"/>
        <v>9946</v>
      </c>
      <c r="J19" s="100">
        <f t="shared" ref="J19:M19" si="5">SUM(J10:J18)</f>
        <v>-69668</v>
      </c>
      <c r="K19" s="100">
        <f t="shared" si="5"/>
        <v>0</v>
      </c>
      <c r="L19" s="100">
        <f t="shared" si="5"/>
        <v>0</v>
      </c>
      <c r="M19" s="100">
        <f t="shared" si="5"/>
        <v>0</v>
      </c>
      <c r="P19" s="100">
        <f t="shared" ref="P19:R19" si="6">SUM(P10:P18)</f>
        <v>-69668</v>
      </c>
      <c r="Q19" s="100">
        <f t="shared" si="6"/>
        <v>8235</v>
      </c>
      <c r="R19" s="100">
        <f t="shared" si="6"/>
        <v>-77903</v>
      </c>
      <c r="T19" s="100">
        <f>SUM(T10:T18)</f>
        <v>45393</v>
      </c>
      <c r="U19" s="100">
        <f>SUM(U10:U18)</f>
        <v>46201</v>
      </c>
    </row>
    <row r="20" spans="1:21" x14ac:dyDescent="0.25">
      <c r="A20" s="55"/>
      <c r="B20" s="47"/>
      <c r="C20" s="47"/>
      <c r="D20" s="47"/>
      <c r="E20" s="47"/>
      <c r="F20" s="47"/>
      <c r="G20" s="47"/>
      <c r="H20" s="47"/>
      <c r="I20" s="47"/>
      <c r="J20" s="47"/>
      <c r="K20" s="47"/>
      <c r="L20" s="47"/>
      <c r="M20" s="47"/>
      <c r="P20" s="47"/>
      <c r="Q20" s="47"/>
      <c r="R20" s="47"/>
      <c r="T20" s="53">
        <f>SUM(B20:E20)</f>
        <v>0</v>
      </c>
      <c r="U20" s="53">
        <f>SUM(F20:I20)</f>
        <v>0</v>
      </c>
    </row>
    <row r="21" spans="1:21" x14ac:dyDescent="0.25">
      <c r="A21" s="55" t="s">
        <v>128</v>
      </c>
      <c r="B21" s="58">
        <f>+'CF by Qtr'!B34</f>
        <v>-5323</v>
      </c>
      <c r="C21" s="58">
        <f>+'CF by Qtr'!C34</f>
        <v>-5240</v>
      </c>
      <c r="D21" s="58">
        <f>+'CF by Qtr'!D34</f>
        <v>-7534</v>
      </c>
      <c r="E21" s="58">
        <f>+'CF by Qtr'!E34</f>
        <v>-13531</v>
      </c>
      <c r="F21" s="58">
        <f>+'Forecast - Summary Assumptions'!G49</f>
        <v>-11053</v>
      </c>
      <c r="G21" s="58">
        <f>+'CF by Qtr'!G34</f>
        <v>-11774</v>
      </c>
      <c r="H21" s="58">
        <f>+'CF by Qtr'!H34</f>
        <v>-11261</v>
      </c>
      <c r="I21" s="58">
        <f>+'CF by Qtr'!I34</f>
        <v>-10276</v>
      </c>
      <c r="J21" s="58">
        <f>+'Forecast - Summary Assumptions'!K49</f>
        <v>0</v>
      </c>
      <c r="K21" s="58">
        <f>+'Forecast - Summary Assumptions'!L49</f>
        <v>0</v>
      </c>
      <c r="L21" s="58">
        <f>+'Forecast - Summary Assumptions'!M49</f>
        <v>0</v>
      </c>
      <c r="M21" s="58">
        <f>+'Forecast - Summary Assumptions'!N49</f>
        <v>0</v>
      </c>
      <c r="P21" s="75">
        <f>+J21</f>
        <v>0</v>
      </c>
      <c r="Q21" s="75">
        <f>+'Actual - Summary CF by Qtr'!J21</f>
        <v>-7233</v>
      </c>
      <c r="R21" s="75">
        <f t="shared" ref="R21:R22" si="7">+P21-Q21</f>
        <v>7233</v>
      </c>
      <c r="T21" s="53">
        <f>SUM(B21:E21)</f>
        <v>-31628</v>
      </c>
      <c r="U21" s="53">
        <f>SUM(F21:I21)</f>
        <v>-44364</v>
      </c>
    </row>
    <row r="22" spans="1:21" x14ac:dyDescent="0.25">
      <c r="A22" s="55" t="s">
        <v>129</v>
      </c>
      <c r="B22" s="70">
        <f>+'CF by Qtr'!B35</f>
        <v>-47</v>
      </c>
      <c r="C22" s="70">
        <f>+'CF by Qtr'!C35</f>
        <v>-81</v>
      </c>
      <c r="D22" s="70">
        <f>+'CF by Qtr'!D35</f>
        <v>-187</v>
      </c>
      <c r="E22" s="70">
        <f>+'CF by Qtr'!E35</f>
        <v>-57</v>
      </c>
      <c r="F22" s="70">
        <v>0</v>
      </c>
      <c r="G22" s="70">
        <f>+'CF by Qtr'!G35</f>
        <v>-63</v>
      </c>
      <c r="H22" s="70">
        <f>+'CF by Qtr'!H35</f>
        <v>-58</v>
      </c>
      <c r="I22" s="70">
        <f>+'CF by Qtr'!I35</f>
        <v>-117</v>
      </c>
      <c r="J22" s="70">
        <v>0</v>
      </c>
      <c r="K22" s="70">
        <v>0</v>
      </c>
      <c r="L22" s="70">
        <v>0</v>
      </c>
      <c r="M22" s="70">
        <v>0</v>
      </c>
      <c r="P22" s="70">
        <f>+J22</f>
        <v>0</v>
      </c>
      <c r="Q22" s="70">
        <f>+'Actual - Summary CF by Qtr'!J22</f>
        <v>-125</v>
      </c>
      <c r="R22" s="70">
        <f t="shared" si="7"/>
        <v>125</v>
      </c>
      <c r="T22" s="72">
        <f>SUM(B22:E22)</f>
        <v>-372</v>
      </c>
      <c r="U22" s="72">
        <f>SUM(F22:I22)</f>
        <v>-238</v>
      </c>
    </row>
    <row r="23" spans="1:21" x14ac:dyDescent="0.25">
      <c r="A23" s="55" t="s">
        <v>130</v>
      </c>
      <c r="B23" s="53">
        <f>SUM(B21:B22)</f>
        <v>-5370</v>
      </c>
      <c r="C23" s="53">
        <f t="shared" ref="C23:I23" si="8">SUM(C21:C22)</f>
        <v>-5321</v>
      </c>
      <c r="D23" s="53">
        <f t="shared" si="8"/>
        <v>-7721</v>
      </c>
      <c r="E23" s="53">
        <f t="shared" si="8"/>
        <v>-13588</v>
      </c>
      <c r="F23" s="53">
        <f t="shared" si="8"/>
        <v>-11053</v>
      </c>
      <c r="G23" s="53">
        <f t="shared" si="8"/>
        <v>-11837</v>
      </c>
      <c r="H23" s="53">
        <f t="shared" si="8"/>
        <v>-11319</v>
      </c>
      <c r="I23" s="53">
        <f t="shared" si="8"/>
        <v>-10393</v>
      </c>
      <c r="J23" s="53">
        <f t="shared" ref="J23:M23" si="9">SUM(J21:J22)</f>
        <v>0</v>
      </c>
      <c r="K23" s="53">
        <f t="shared" si="9"/>
        <v>0</v>
      </c>
      <c r="L23" s="53">
        <f t="shared" si="9"/>
        <v>0</v>
      </c>
      <c r="M23" s="53">
        <f t="shared" si="9"/>
        <v>0</v>
      </c>
      <c r="P23" s="53">
        <f t="shared" ref="P23:R23" si="10">SUM(P21:P22)</f>
        <v>0</v>
      </c>
      <c r="Q23" s="53">
        <f t="shared" si="10"/>
        <v>-7358</v>
      </c>
      <c r="R23" s="53">
        <f t="shared" si="10"/>
        <v>7358</v>
      </c>
      <c r="T23" s="53">
        <f>SUM(T21:T22)</f>
        <v>-32000</v>
      </c>
      <c r="U23" s="53">
        <f>SUM(U21:U22)</f>
        <v>-44602</v>
      </c>
    </row>
    <row r="24" spans="1:21" x14ac:dyDescent="0.25">
      <c r="A24" s="55"/>
      <c r="B24" s="47"/>
      <c r="C24" s="47"/>
      <c r="D24" s="47"/>
      <c r="E24" s="47"/>
      <c r="F24" s="47"/>
      <c r="G24" s="47"/>
      <c r="H24" s="47"/>
      <c r="I24" s="47"/>
      <c r="J24" s="47"/>
      <c r="K24" s="47"/>
      <c r="L24" s="47"/>
      <c r="M24" s="47"/>
      <c r="P24" s="47"/>
      <c r="Q24" s="47"/>
      <c r="R24" s="47"/>
      <c r="T24" s="53">
        <f>SUM(B24:E24)</f>
        <v>0</v>
      </c>
      <c r="U24" s="53">
        <f>SUM(F24:I24)</f>
        <v>0</v>
      </c>
    </row>
    <row r="25" spans="1:21" x14ac:dyDescent="0.25">
      <c r="A25" s="55" t="s">
        <v>176</v>
      </c>
      <c r="B25" s="58">
        <f>SUM('CF by Qtr'!B38:B39)</f>
        <v>-250</v>
      </c>
      <c r="C25" s="58">
        <f>SUM('CF by Qtr'!C38:C39)</f>
        <v>-8500</v>
      </c>
      <c r="D25" s="58">
        <f>SUM('CF by Qtr'!D38:D39)</f>
        <v>0</v>
      </c>
      <c r="E25" s="58">
        <f>SUM('CF by Qtr'!E38:E39)</f>
        <v>0</v>
      </c>
      <c r="F25" s="58">
        <f>+'Forecast - Summary Assumptions'!G61</f>
        <v>0</v>
      </c>
      <c r="G25" s="58">
        <f>SUM('CF by Qtr'!G38:G39)</f>
        <v>0</v>
      </c>
      <c r="H25" s="58">
        <f>SUM('CF by Qtr'!H38:H39)</f>
        <v>0</v>
      </c>
      <c r="I25" s="58">
        <f>SUM('CF by Qtr'!I38:I39)</f>
        <v>0</v>
      </c>
      <c r="J25" s="58">
        <f>+'Forecast - Summary Assumptions'!K61</f>
        <v>0</v>
      </c>
      <c r="K25" s="58">
        <f>+'Forecast - Summary Assumptions'!L61</f>
        <v>0</v>
      </c>
      <c r="L25" s="58">
        <f>+'Forecast - Summary Assumptions'!M61</f>
        <v>0</v>
      </c>
      <c r="M25" s="58">
        <f>+'Forecast - Summary Assumptions'!N61</f>
        <v>0</v>
      </c>
      <c r="P25" s="75">
        <f>+J25</f>
        <v>0</v>
      </c>
      <c r="Q25" s="75">
        <f>+'Actual - Summary CF by Qtr'!J25</f>
        <v>0</v>
      </c>
      <c r="R25" s="75">
        <f t="shared" ref="R25:R26" si="11">+P25-Q25</f>
        <v>0</v>
      </c>
      <c r="T25" s="53">
        <f>SUM(B25:E25)</f>
        <v>-8750</v>
      </c>
      <c r="U25" s="53">
        <f>SUM(F25:I25)</f>
        <v>0</v>
      </c>
    </row>
    <row r="26" spans="1:21" x14ac:dyDescent="0.25">
      <c r="A26" s="55" t="s">
        <v>179</v>
      </c>
      <c r="B26" s="70">
        <f>SUM('CF by Qtr'!B40:B43)</f>
        <v>31</v>
      </c>
      <c r="C26" s="70">
        <f>SUM('CF by Qtr'!C40:C43)</f>
        <v>73</v>
      </c>
      <c r="D26" s="70">
        <f>SUM('CF by Qtr'!D40:D43)</f>
        <v>56</v>
      </c>
      <c r="E26" s="70">
        <f>SUM('CF by Qtr'!E40:E43)</f>
        <v>-89</v>
      </c>
      <c r="F26" s="70">
        <v>0</v>
      </c>
      <c r="G26" s="70">
        <f>SUM('CF by Qtr'!G40:G43)</f>
        <v>3356</v>
      </c>
      <c r="H26" s="70">
        <f>SUM('CF by Qtr'!H40:H43)</f>
        <v>909</v>
      </c>
      <c r="I26" s="70">
        <f>SUM('CF by Qtr'!I40:I43)</f>
        <v>197</v>
      </c>
      <c r="J26" s="70">
        <v>0</v>
      </c>
      <c r="K26" s="70">
        <v>0</v>
      </c>
      <c r="L26" s="70">
        <v>0</v>
      </c>
      <c r="M26" s="70">
        <v>0</v>
      </c>
      <c r="P26" s="70">
        <f>+J26</f>
        <v>0</v>
      </c>
      <c r="Q26" s="70">
        <f>+'Actual - Summary CF by Qtr'!J26</f>
        <v>-389</v>
      </c>
      <c r="R26" s="70">
        <f t="shared" si="11"/>
        <v>389</v>
      </c>
      <c r="T26" s="72">
        <f>SUM(B26:E26)</f>
        <v>71</v>
      </c>
      <c r="U26" s="72">
        <f>SUM(F26:I26)</f>
        <v>4462</v>
      </c>
    </row>
    <row r="27" spans="1:21" x14ac:dyDescent="0.25">
      <c r="A27" s="55" t="s">
        <v>136</v>
      </c>
      <c r="B27" s="101">
        <f>SUM(B25:B26)</f>
        <v>-219</v>
      </c>
      <c r="C27" s="101">
        <f t="shared" ref="C27:I27" si="12">SUM(C25:C26)</f>
        <v>-8427</v>
      </c>
      <c r="D27" s="101">
        <f t="shared" si="12"/>
        <v>56</v>
      </c>
      <c r="E27" s="101">
        <f t="shared" si="12"/>
        <v>-89</v>
      </c>
      <c r="F27" s="101">
        <f t="shared" si="12"/>
        <v>0</v>
      </c>
      <c r="G27" s="101">
        <f t="shared" si="12"/>
        <v>3356</v>
      </c>
      <c r="H27" s="101">
        <f t="shared" si="12"/>
        <v>909</v>
      </c>
      <c r="I27" s="101">
        <f t="shared" si="12"/>
        <v>197</v>
      </c>
      <c r="J27" s="101">
        <f t="shared" ref="J27:M27" si="13">SUM(J25:J26)</f>
        <v>0</v>
      </c>
      <c r="K27" s="101">
        <f t="shared" si="13"/>
        <v>0</v>
      </c>
      <c r="L27" s="101">
        <f t="shared" si="13"/>
        <v>0</v>
      </c>
      <c r="M27" s="101">
        <f t="shared" si="13"/>
        <v>0</v>
      </c>
      <c r="P27" s="101">
        <f t="shared" ref="P27:R27" si="14">SUM(P25:P26)</f>
        <v>0</v>
      </c>
      <c r="Q27" s="101">
        <f t="shared" si="14"/>
        <v>-389</v>
      </c>
      <c r="R27" s="101">
        <f t="shared" si="14"/>
        <v>389</v>
      </c>
      <c r="T27" s="101">
        <f>SUM(T25:T26)</f>
        <v>-8679</v>
      </c>
      <c r="U27" s="101">
        <f>SUM(U25:U26)</f>
        <v>4462</v>
      </c>
    </row>
    <row r="28" spans="1:21" x14ac:dyDescent="0.25">
      <c r="A28" s="55"/>
      <c r="B28" s="53"/>
      <c r="C28" s="53"/>
      <c r="D28" s="53"/>
      <c r="E28" s="53"/>
      <c r="F28" s="53"/>
      <c r="G28" s="53"/>
      <c r="H28" s="53"/>
      <c r="I28" s="53"/>
      <c r="J28" s="53"/>
      <c r="K28" s="53"/>
      <c r="L28" s="53"/>
      <c r="M28" s="53"/>
      <c r="P28" s="53"/>
      <c r="Q28" s="53"/>
      <c r="R28" s="53"/>
      <c r="T28" s="53"/>
      <c r="U28" s="53"/>
    </row>
    <row r="29" spans="1:21" x14ac:dyDescent="0.25">
      <c r="A29" s="55" t="s">
        <v>137</v>
      </c>
      <c r="B29" s="61">
        <f>+B19+B23+B27</f>
        <v>2964</v>
      </c>
      <c r="C29" s="61">
        <f t="shared" ref="C29:I29" si="15">+C19+C23+C27</f>
        <v>855</v>
      </c>
      <c r="D29" s="61">
        <f t="shared" si="15"/>
        <v>2964</v>
      </c>
      <c r="E29" s="61">
        <f t="shared" si="15"/>
        <v>-2069</v>
      </c>
      <c r="F29" s="61">
        <f t="shared" si="15"/>
        <v>-2809</v>
      </c>
      <c r="G29" s="61">
        <f t="shared" si="15"/>
        <v>8945</v>
      </c>
      <c r="H29" s="61">
        <f t="shared" si="15"/>
        <v>175</v>
      </c>
      <c r="I29" s="61">
        <f t="shared" si="15"/>
        <v>-250</v>
      </c>
      <c r="J29" s="61">
        <f t="shared" ref="J29:M29" si="16">+J19+J23+J27</f>
        <v>-69668</v>
      </c>
      <c r="K29" s="61">
        <f t="shared" si="16"/>
        <v>0</v>
      </c>
      <c r="L29" s="61">
        <f t="shared" si="16"/>
        <v>0</v>
      </c>
      <c r="M29" s="61">
        <f t="shared" si="16"/>
        <v>0</v>
      </c>
      <c r="P29" s="61">
        <f t="shared" ref="P29:R29" si="17">+P19+P23+P27</f>
        <v>-69668</v>
      </c>
      <c r="Q29" s="61">
        <f t="shared" si="17"/>
        <v>488</v>
      </c>
      <c r="R29" s="61">
        <f t="shared" si="17"/>
        <v>-70156</v>
      </c>
      <c r="T29" s="61">
        <f>+T19+T23+T27</f>
        <v>4714</v>
      </c>
      <c r="U29" s="61">
        <f>+U19+U23+U27</f>
        <v>6061</v>
      </c>
    </row>
    <row r="30" spans="1:21" x14ac:dyDescent="0.25">
      <c r="A30" s="55" t="s">
        <v>138</v>
      </c>
      <c r="B30" s="70">
        <f>+'Actual - Summary BS by Qtr'!B10</f>
        <v>3815</v>
      </c>
      <c r="C30" s="70">
        <f>+'Actual - Summary BS by Qtr'!C10</f>
        <v>6779</v>
      </c>
      <c r="D30" s="70">
        <f>+'Actual - Summary BS by Qtr'!D10</f>
        <v>7634</v>
      </c>
      <c r="E30" s="70">
        <f>+'Actual - Summary BS by Qtr'!E10</f>
        <v>10598</v>
      </c>
      <c r="F30" s="70">
        <f>+'Actual - Summary BS by Qtr'!F10</f>
        <v>8529</v>
      </c>
      <c r="G30" s="70">
        <f>+'Actual - Summary BS by Qtr'!G10</f>
        <v>4824</v>
      </c>
      <c r="H30" s="70">
        <f>+'Actual - Summary BS by Qtr'!H10</f>
        <v>13769</v>
      </c>
      <c r="I30" s="70">
        <f>+'Actual - Summary BS by Qtr'!I10</f>
        <v>13944</v>
      </c>
      <c r="J30" s="70">
        <f>+'Actual - Summary BS by Qtr'!J10</f>
        <v>13694</v>
      </c>
      <c r="K30" s="70">
        <f>+'Actual - Summary BS by Qtr'!K10</f>
        <v>14182</v>
      </c>
      <c r="L30" s="70">
        <f>+'Actual - Summary BS by Qtr'!L10</f>
        <v>0</v>
      </c>
      <c r="M30" s="70">
        <f>+'Actual - Summary BS by Qtr'!M10</f>
        <v>0</v>
      </c>
      <c r="P30" s="70">
        <f>+J30</f>
        <v>13694</v>
      </c>
      <c r="Q30" s="70">
        <f>+'Actual - Summary CF by Qtr'!J30</f>
        <v>13694</v>
      </c>
      <c r="R30" s="70">
        <f t="shared" ref="R30" si="18">+P30-Q30</f>
        <v>0</v>
      </c>
      <c r="T30" s="72">
        <f>+B30</f>
        <v>3815</v>
      </c>
      <c r="U30" s="72">
        <f>+T32</f>
        <v>8529</v>
      </c>
    </row>
    <row r="31" spans="1:21" x14ac:dyDescent="0.25">
      <c r="A31" s="55"/>
      <c r="B31" s="58"/>
      <c r="C31" s="58"/>
      <c r="D31" s="58"/>
      <c r="E31" s="58"/>
      <c r="F31" s="58"/>
      <c r="G31" s="58"/>
      <c r="H31" s="58"/>
      <c r="I31" s="58"/>
      <c r="J31" s="58"/>
      <c r="K31" s="58"/>
      <c r="L31" s="58"/>
      <c r="M31" s="58"/>
      <c r="P31" s="58"/>
      <c r="Q31" s="58"/>
      <c r="R31" s="58"/>
      <c r="T31" s="53"/>
      <c r="U31" s="53"/>
    </row>
    <row r="32" spans="1:21" ht="15.75" thickBot="1" x14ac:dyDescent="0.3">
      <c r="A32" s="55" t="s">
        <v>139</v>
      </c>
      <c r="B32" s="102">
        <f>SUM(B29:B30)</f>
        <v>6779</v>
      </c>
      <c r="C32" s="102">
        <f t="shared" ref="C32:I32" si="19">SUM(C29:C30)</f>
        <v>7634</v>
      </c>
      <c r="D32" s="102">
        <f t="shared" si="19"/>
        <v>10598</v>
      </c>
      <c r="E32" s="102">
        <f t="shared" si="19"/>
        <v>8529</v>
      </c>
      <c r="F32" s="102">
        <f t="shared" si="19"/>
        <v>5720</v>
      </c>
      <c r="G32" s="102">
        <f t="shared" si="19"/>
        <v>13769</v>
      </c>
      <c r="H32" s="102">
        <f t="shared" si="19"/>
        <v>13944</v>
      </c>
      <c r="I32" s="102">
        <f t="shared" si="19"/>
        <v>13694</v>
      </c>
      <c r="J32" s="102">
        <f t="shared" ref="J32:M32" si="20">SUM(J29:J30)</f>
        <v>-55974</v>
      </c>
      <c r="K32" s="102">
        <f t="shared" si="20"/>
        <v>14182</v>
      </c>
      <c r="L32" s="102">
        <f t="shared" si="20"/>
        <v>0</v>
      </c>
      <c r="M32" s="102">
        <f t="shared" si="20"/>
        <v>0</v>
      </c>
      <c r="P32" s="102">
        <f t="shared" ref="P32:R32" si="21">SUM(P29:P30)</f>
        <v>-55974</v>
      </c>
      <c r="Q32" s="102">
        <f t="shared" si="21"/>
        <v>14182</v>
      </c>
      <c r="R32" s="102">
        <f t="shared" si="21"/>
        <v>-70156</v>
      </c>
      <c r="T32" s="102">
        <f>SUM(T29:T30)</f>
        <v>8529</v>
      </c>
      <c r="U32" s="102">
        <f>SUM(U29:U30)</f>
        <v>14590</v>
      </c>
    </row>
    <row r="33" spans="1:21" ht="15.75" thickTop="1" x14ac:dyDescent="0.25">
      <c r="A33" s="55"/>
      <c r="B33" s="103"/>
      <c r="C33" s="103"/>
      <c r="D33" s="103"/>
      <c r="E33" s="103"/>
      <c r="F33" s="103"/>
      <c r="G33" s="103"/>
      <c r="H33" s="103"/>
      <c r="I33" s="103"/>
      <c r="J33" s="103"/>
      <c r="K33" s="103"/>
      <c r="L33" s="103"/>
      <c r="M33" s="103"/>
      <c r="T33" s="103"/>
      <c r="U33" s="103"/>
    </row>
    <row r="34" spans="1:21" x14ac:dyDescent="0.25">
      <c r="A34" s="47"/>
      <c r="B34" s="47"/>
      <c r="C34" s="47"/>
      <c r="D34" s="47"/>
      <c r="E34" s="47"/>
      <c r="F34" s="47"/>
      <c r="G34" s="47"/>
      <c r="H34" s="47"/>
      <c r="I34" s="47"/>
      <c r="J34" s="47"/>
      <c r="K34" s="47"/>
      <c r="L34" s="47"/>
      <c r="M34" s="47"/>
      <c r="T34" s="53"/>
      <c r="U34" s="53"/>
    </row>
    <row r="35" spans="1:21" x14ac:dyDescent="0.25">
      <c r="A35" s="47"/>
      <c r="B35" s="99">
        <f>+'Actual - Summary BS by Qtr'!C10</f>
        <v>6779</v>
      </c>
      <c r="C35" s="99">
        <f>+'Actual - Summary BS by Qtr'!D10</f>
        <v>7634</v>
      </c>
      <c r="D35" s="99">
        <f>+'Actual - Summary BS by Qtr'!E10</f>
        <v>10598</v>
      </c>
      <c r="E35" s="99">
        <f>+'Actual - Summary BS by Qtr'!F10</f>
        <v>8529</v>
      </c>
      <c r="F35" s="99">
        <f>+'Actual - Summary BS by Qtr'!G10</f>
        <v>4824</v>
      </c>
      <c r="G35" s="99">
        <f>+'Actual - Summary BS by Qtr'!H10</f>
        <v>13769</v>
      </c>
      <c r="H35" s="99">
        <f>+'Actual - Summary BS by Qtr'!I10</f>
        <v>13944</v>
      </c>
      <c r="I35" s="99">
        <f>+'Actual - Summary BS by Qtr'!J10</f>
        <v>13694</v>
      </c>
      <c r="J35" s="99"/>
      <c r="K35" s="99"/>
      <c r="L35" s="99"/>
      <c r="M35" s="99"/>
      <c r="T35" s="53">
        <v>8529</v>
      </c>
      <c r="U35" s="53">
        <v>13694</v>
      </c>
    </row>
    <row r="36" spans="1:21" x14ac:dyDescent="0.25">
      <c r="A36" s="47" t="s">
        <v>185</v>
      </c>
      <c r="B36" s="47"/>
      <c r="C36" s="54"/>
      <c r="D36" s="54"/>
      <c r="E36" s="54"/>
      <c r="F36" s="99"/>
      <c r="H36" s="53"/>
      <c r="I36" s="53"/>
      <c r="J36" s="99">
        <f>+'Actual - Summary BS by Qtr'!K10</f>
        <v>14182</v>
      </c>
      <c r="K36" s="99">
        <f>+'Actual - Summary BS by Qtr'!L10</f>
        <v>0</v>
      </c>
      <c r="L36" s="99">
        <f>+'Actual - Summary BS by Qtr'!M10</f>
        <v>0</v>
      </c>
      <c r="M36" s="99">
        <f>+'Actual - Summary BS by Qtr'!N10</f>
        <v>0</v>
      </c>
      <c r="Q36" s="52">
        <f>+F36</f>
        <v>0</v>
      </c>
      <c r="T36" s="53"/>
      <c r="U36" s="53"/>
    </row>
    <row r="37" spans="1:21" x14ac:dyDescent="0.25">
      <c r="A37" s="47"/>
      <c r="B37" s="47"/>
      <c r="C37" s="54"/>
      <c r="D37" s="54"/>
      <c r="E37" s="54"/>
      <c r="F37" s="47"/>
      <c r="H37" s="53"/>
      <c r="I37" s="53"/>
      <c r="T37" s="53"/>
      <c r="U37" s="53"/>
    </row>
    <row r="38" spans="1:21" x14ac:dyDescent="0.25">
      <c r="A38" s="55" t="s">
        <v>140</v>
      </c>
      <c r="B38" s="47"/>
      <c r="C38" s="54"/>
      <c r="D38" s="54"/>
      <c r="E38" s="54"/>
      <c r="F38" s="47"/>
      <c r="H38" s="53"/>
      <c r="I38" s="53"/>
      <c r="T38" s="53"/>
      <c r="U38" s="53"/>
    </row>
    <row r="39" spans="1:21" x14ac:dyDescent="0.25">
      <c r="A39" s="55" t="s">
        <v>141</v>
      </c>
      <c r="B39" s="47"/>
      <c r="C39" s="54"/>
      <c r="D39" s="54"/>
      <c r="E39" s="54"/>
      <c r="F39" s="47"/>
      <c r="H39" s="53"/>
      <c r="I39" s="53"/>
      <c r="T39" s="53"/>
      <c r="U39" s="53"/>
    </row>
    <row r="40" spans="1:21" x14ac:dyDescent="0.25">
      <c r="A40" s="55" t="s">
        <v>142</v>
      </c>
      <c r="B40" s="47"/>
      <c r="C40" s="54"/>
      <c r="D40" s="54"/>
      <c r="E40" s="54"/>
      <c r="F40" s="47"/>
      <c r="H40" s="53"/>
      <c r="I40" s="53"/>
      <c r="T40" s="53"/>
      <c r="U40" s="53"/>
    </row>
    <row r="41" spans="1:21" x14ac:dyDescent="0.25">
      <c r="A41" s="55" t="s">
        <v>143</v>
      </c>
      <c r="B41" s="67">
        <v>1016</v>
      </c>
      <c r="C41" s="54">
        <v>730</v>
      </c>
      <c r="D41" s="54">
        <v>881</v>
      </c>
      <c r="E41" s="54">
        <v>454</v>
      </c>
      <c r="F41" s="58">
        <v>2726</v>
      </c>
      <c r="G41" s="53">
        <v>322</v>
      </c>
      <c r="H41" s="53">
        <v>-691</v>
      </c>
      <c r="I41" s="53">
        <v>-166</v>
      </c>
      <c r="J41" s="53"/>
      <c r="Q41" s="53">
        <f>+'Actual - Summary CF by Qtr'!J41</f>
        <v>2639</v>
      </c>
      <c r="T41" s="53">
        <f>SUM(B41:E41)</f>
        <v>3081</v>
      </c>
      <c r="U41" s="53">
        <f>SUM(F41:I41)</f>
        <v>2191</v>
      </c>
    </row>
    <row r="42" spans="1:21" x14ac:dyDescent="0.25">
      <c r="A42" s="47"/>
      <c r="B42" s="47"/>
      <c r="C42" s="54"/>
      <c r="D42" s="54"/>
      <c r="E42" s="54"/>
      <c r="F42" s="54"/>
      <c r="G42" s="53"/>
      <c r="H42" s="53"/>
      <c r="I42" s="53"/>
      <c r="T42" s="53"/>
      <c r="U42" s="53"/>
    </row>
    <row r="43" spans="1:21" x14ac:dyDescent="0.25">
      <c r="A43" s="55" t="s">
        <v>144</v>
      </c>
      <c r="B43" s="47"/>
      <c r="C43" s="54"/>
      <c r="D43" s="54"/>
      <c r="E43" s="54"/>
      <c r="F43" s="54"/>
      <c r="G43" s="53"/>
      <c r="H43" s="53"/>
      <c r="I43" s="53"/>
      <c r="T43" s="53"/>
      <c r="U43" s="53"/>
    </row>
    <row r="44" spans="1:21" x14ac:dyDescent="0.25">
      <c r="A44" s="55" t="s">
        <v>145</v>
      </c>
      <c r="B44" s="67">
        <v>51</v>
      </c>
      <c r="C44" s="54">
        <v>29</v>
      </c>
      <c r="D44" s="54">
        <v>7</v>
      </c>
      <c r="E44" s="54">
        <v>8</v>
      </c>
      <c r="F44" s="68" t="s">
        <v>146</v>
      </c>
      <c r="G44" s="53">
        <v>9</v>
      </c>
      <c r="H44" s="53">
        <v>8</v>
      </c>
      <c r="I44" s="53">
        <v>8</v>
      </c>
      <c r="Q44" s="53">
        <f>+'Actual - Summary CF by Qtr'!J44</f>
        <v>8</v>
      </c>
      <c r="T44" s="53">
        <f>SUM(B44:E44)</f>
        <v>95</v>
      </c>
      <c r="U44" s="53">
        <f>SUM(F44:I44)</f>
        <v>25</v>
      </c>
    </row>
    <row r="45" spans="1:21" x14ac:dyDescent="0.25">
      <c r="A45" s="55" t="s">
        <v>147</v>
      </c>
      <c r="B45" s="67">
        <v>273</v>
      </c>
      <c r="C45" s="54">
        <v>1693</v>
      </c>
      <c r="D45" s="54">
        <v>357</v>
      </c>
      <c r="E45" s="54">
        <v>1768</v>
      </c>
      <c r="F45" s="58">
        <v>160</v>
      </c>
      <c r="G45" s="53">
        <v>1014</v>
      </c>
      <c r="H45" s="53">
        <v>210</v>
      </c>
      <c r="I45" s="53">
        <v>1</v>
      </c>
      <c r="Q45" s="53">
        <f>+'Actual - Summary CF by Qtr'!J45</f>
        <v>18</v>
      </c>
      <c r="T45" s="53">
        <f>SUM(B45:E45)</f>
        <v>4091</v>
      </c>
      <c r="U45" s="53">
        <f>SUM(F45:I45)</f>
        <v>1385</v>
      </c>
    </row>
    <row r="46" spans="1:21" x14ac:dyDescent="0.25">
      <c r="B46" s="55"/>
      <c r="C46" s="47"/>
      <c r="D46" s="55"/>
      <c r="E46" s="47"/>
      <c r="H46" s="53">
        <f>+W46-G46-F46</f>
        <v>0</v>
      </c>
      <c r="I46" s="47"/>
    </row>
    <row r="47" spans="1:21" x14ac:dyDescent="0.25">
      <c r="B47" s="55"/>
      <c r="C47" s="47"/>
      <c r="D47" s="55"/>
      <c r="E47" s="47"/>
      <c r="I47" s="47"/>
    </row>
    <row r="48" spans="1:21" x14ac:dyDescent="0.25">
      <c r="B48" s="55"/>
      <c r="C48" s="47"/>
      <c r="D48" s="55"/>
      <c r="E48" s="47"/>
      <c r="I48" s="47"/>
    </row>
    <row r="49" spans="2:9" x14ac:dyDescent="0.25">
      <c r="B49" s="55"/>
      <c r="C49" s="47"/>
      <c r="D49" s="55"/>
      <c r="E49" s="47"/>
      <c r="I49" s="47"/>
    </row>
    <row r="50" spans="2:9" x14ac:dyDescent="0.25">
      <c r="B50" s="55"/>
      <c r="C50" s="47"/>
      <c r="D50" s="55"/>
      <c r="E50" s="47"/>
      <c r="I50" s="47"/>
    </row>
    <row r="51" spans="2:9" x14ac:dyDescent="0.25">
      <c r="B51" s="55"/>
      <c r="C51" s="47"/>
      <c r="D51" s="55"/>
      <c r="E51" s="47"/>
      <c r="I51" s="47"/>
    </row>
    <row r="52" spans="2:9" x14ac:dyDescent="0.25">
      <c r="B52" s="55"/>
      <c r="C52" s="47"/>
      <c r="D52" s="55"/>
      <c r="E52" s="47"/>
      <c r="I52" s="47"/>
    </row>
    <row r="53" spans="2:9" x14ac:dyDescent="0.25">
      <c r="B53" s="55"/>
      <c r="C53" s="47"/>
      <c r="D53" s="55"/>
      <c r="E53" s="47"/>
      <c r="I53" s="47"/>
    </row>
    <row r="54" spans="2:9" x14ac:dyDescent="0.25">
      <c r="B54" s="55"/>
      <c r="C54" s="47"/>
      <c r="D54" s="55"/>
      <c r="E54" s="47"/>
      <c r="I54" s="47"/>
    </row>
    <row r="55" spans="2:9" x14ac:dyDescent="0.25">
      <c r="B55" s="55"/>
      <c r="C55" s="47"/>
      <c r="D55" s="55"/>
      <c r="E55" s="47"/>
      <c r="I55" s="47"/>
    </row>
    <row r="56" spans="2:9" x14ac:dyDescent="0.25">
      <c r="B56" s="55"/>
      <c r="C56" s="47"/>
      <c r="D56" s="55"/>
      <c r="E56" s="47"/>
      <c r="I56" s="47"/>
    </row>
    <row r="57" spans="2:9" x14ac:dyDescent="0.25">
      <c r="B57" s="55"/>
      <c r="C57" s="47"/>
      <c r="D57" s="55"/>
      <c r="E57" s="47"/>
      <c r="I57" s="47"/>
    </row>
    <row r="58" spans="2:9" x14ac:dyDescent="0.25">
      <c r="B58" s="55"/>
      <c r="C58" s="47"/>
      <c r="D58" s="55"/>
      <c r="E58" s="47"/>
      <c r="I58" s="47"/>
    </row>
    <row r="59" spans="2:9" x14ac:dyDescent="0.25">
      <c r="B59" s="55"/>
      <c r="C59" s="47"/>
      <c r="D59" s="55"/>
      <c r="E59" s="47"/>
      <c r="I59" s="47"/>
    </row>
    <row r="60" spans="2:9" x14ac:dyDescent="0.25">
      <c r="B60" s="55"/>
      <c r="C60" s="47"/>
      <c r="D60" s="55"/>
      <c r="E60" s="47"/>
      <c r="I60" s="47"/>
    </row>
    <row r="61" spans="2:9" x14ac:dyDescent="0.25">
      <c r="B61" s="55"/>
      <c r="C61" s="47"/>
      <c r="D61" s="55"/>
      <c r="E61" s="47"/>
      <c r="I61" s="47"/>
    </row>
    <row r="62" spans="2:9" x14ac:dyDescent="0.25">
      <c r="B62" s="55"/>
      <c r="C62" s="47"/>
      <c r="D62" s="55"/>
      <c r="E62" s="47"/>
      <c r="I62" s="47"/>
    </row>
    <row r="63" spans="2:9" x14ac:dyDescent="0.25">
      <c r="B63" s="55"/>
      <c r="C63" s="47"/>
      <c r="D63" s="55"/>
      <c r="E63" s="47"/>
      <c r="I63" s="47"/>
    </row>
    <row r="64" spans="2:9" x14ac:dyDescent="0.25">
      <c r="B64" s="55"/>
      <c r="C64" s="47"/>
      <c r="D64" s="55"/>
      <c r="E64" s="47"/>
      <c r="I64" s="47"/>
    </row>
    <row r="65" spans="2:9" x14ac:dyDescent="0.25">
      <c r="B65" s="55"/>
      <c r="C65" s="47"/>
      <c r="D65" s="55"/>
      <c r="E65" s="47"/>
      <c r="I65" s="47"/>
    </row>
    <row r="66" spans="2:9" x14ac:dyDescent="0.25">
      <c r="B66" s="55"/>
      <c r="C66" s="47"/>
      <c r="D66" s="55"/>
      <c r="E66" s="47"/>
      <c r="I66" s="47"/>
    </row>
    <row r="67" spans="2:9" x14ac:dyDescent="0.25">
      <c r="B67" s="55"/>
      <c r="C67" s="47"/>
      <c r="D67" s="55"/>
      <c r="E67" s="47"/>
      <c r="I67" s="47"/>
    </row>
    <row r="68" spans="2:9" x14ac:dyDescent="0.25">
      <c r="C68" s="47"/>
    </row>
    <row r="69" spans="2:9" x14ac:dyDescent="0.25">
      <c r="C69" s="47"/>
    </row>
    <row r="70" spans="2:9" x14ac:dyDescent="0.25">
      <c r="C70" s="47"/>
    </row>
    <row r="71" spans="2:9" x14ac:dyDescent="0.25">
      <c r="C71" s="47"/>
    </row>
  </sheetData>
  <pageMargins left="0.7" right="0.7" top="0.75" bottom="0.75" header="0.3" footer="0.3"/>
  <pageSetup scale="50" orientation="landscape" r:id="rId1"/>
  <colBreaks count="1" manualBreakCount="1">
    <brk id="1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zoomScaleNormal="100" workbookViewId="0">
      <pane xSplit="1" ySplit="8" topLeftCell="B9" activePane="bottomRight" state="frozen"/>
      <selection pane="topRight" activeCell="B1" sqref="B1"/>
      <selection pane="bottomLeft" activeCell="A9" sqref="A9"/>
      <selection pane="bottomRight" activeCell="Q17" sqref="Q17"/>
    </sheetView>
  </sheetViews>
  <sheetFormatPr defaultRowHeight="15" x14ac:dyDescent="0.25"/>
  <cols>
    <col min="1" max="1" width="36.42578125" customWidth="1"/>
    <col min="2" max="2" width="9.5703125" hidden="1" customWidth="1"/>
    <col min="3" max="3" width="10.140625" hidden="1" customWidth="1"/>
    <col min="4" max="5" width="11.140625" hidden="1" customWidth="1"/>
    <col min="6" max="6" width="10.140625" bestFit="1" customWidth="1"/>
    <col min="7" max="9" width="11.140625" bestFit="1" customWidth="1"/>
    <col min="10" max="10" width="9.7109375" bestFit="1" customWidth="1"/>
    <col min="11" max="11" width="9.85546875" hidden="1" customWidth="1"/>
    <col min="12" max="13" width="0" hidden="1" customWidth="1"/>
    <col min="17" max="17" width="9.7109375" bestFit="1" customWidth="1"/>
    <col min="18" max="18" width="9" bestFit="1" customWidth="1"/>
    <col min="19" max="19" width="9.7109375" bestFit="1" customWidth="1"/>
    <col min="24" max="24" width="39.85546875" customWidth="1"/>
  </cols>
  <sheetData>
    <row r="1" spans="1:25" x14ac:dyDescent="0.25">
      <c r="A1" s="46" t="s">
        <v>0</v>
      </c>
    </row>
    <row r="2" spans="1:25" x14ac:dyDescent="0.25">
      <c r="A2" s="46" t="s">
        <v>181</v>
      </c>
    </row>
    <row r="3" spans="1:25" x14ac:dyDescent="0.25">
      <c r="A3" s="46" t="s">
        <v>166</v>
      </c>
    </row>
    <row r="6" spans="1:25" x14ac:dyDescent="0.25">
      <c r="B6" s="48" t="s">
        <v>65</v>
      </c>
      <c r="C6" s="48" t="s">
        <v>65</v>
      </c>
      <c r="D6" s="48" t="s">
        <v>65</v>
      </c>
      <c r="E6" s="48" t="s">
        <v>65</v>
      </c>
      <c r="F6" s="48" t="s">
        <v>65</v>
      </c>
      <c r="G6" s="48" t="s">
        <v>65</v>
      </c>
      <c r="H6" s="48" t="s">
        <v>65</v>
      </c>
      <c r="I6" s="48" t="s">
        <v>65</v>
      </c>
      <c r="J6" s="48" t="s">
        <v>51</v>
      </c>
      <c r="K6" s="48" t="s">
        <v>51</v>
      </c>
      <c r="L6" s="48" t="s">
        <v>51</v>
      </c>
      <c r="M6" s="48" t="s">
        <v>51</v>
      </c>
      <c r="Q6" s="48" t="s">
        <v>51</v>
      </c>
      <c r="R6" s="48" t="s">
        <v>65</v>
      </c>
      <c r="X6" s="112" t="s">
        <v>256</v>
      </c>
      <c r="Y6" s="48" t="s">
        <v>65</v>
      </c>
    </row>
    <row r="7" spans="1:25" x14ac:dyDescent="0.25">
      <c r="A7" s="127" t="s">
        <v>256</v>
      </c>
      <c r="B7" s="50" t="s">
        <v>36</v>
      </c>
      <c r="C7" s="50" t="s">
        <v>37</v>
      </c>
      <c r="D7" s="50" t="s">
        <v>38</v>
      </c>
      <c r="E7" s="49" t="s">
        <v>33</v>
      </c>
      <c r="F7" s="50" t="s">
        <v>36</v>
      </c>
      <c r="G7" s="50" t="s">
        <v>37</v>
      </c>
      <c r="H7" s="50" t="s">
        <v>38</v>
      </c>
      <c r="I7" s="49" t="s">
        <v>33</v>
      </c>
      <c r="J7" s="50" t="s">
        <v>36</v>
      </c>
      <c r="K7" s="50" t="s">
        <v>37</v>
      </c>
      <c r="L7" s="50" t="s">
        <v>38</v>
      </c>
      <c r="M7" s="49" t="s">
        <v>33</v>
      </c>
      <c r="Q7" s="50" t="s">
        <v>36</v>
      </c>
      <c r="R7" s="50" t="s">
        <v>36</v>
      </c>
      <c r="X7" s="112" t="s">
        <v>223</v>
      </c>
      <c r="Y7" s="50" t="s">
        <v>161</v>
      </c>
    </row>
    <row r="8" spans="1:25" x14ac:dyDescent="0.25">
      <c r="A8" s="128" t="s">
        <v>223</v>
      </c>
      <c r="B8" s="51" t="s">
        <v>34</v>
      </c>
      <c r="C8" s="51" t="s">
        <v>34</v>
      </c>
      <c r="D8" s="51" t="s">
        <v>34</v>
      </c>
      <c r="E8" s="51" t="s">
        <v>34</v>
      </c>
      <c r="F8" s="51" t="s">
        <v>39</v>
      </c>
      <c r="G8" s="51" t="s">
        <v>39</v>
      </c>
      <c r="H8" s="51" t="s">
        <v>39</v>
      </c>
      <c r="I8" s="51" t="s">
        <v>39</v>
      </c>
      <c r="J8" s="51" t="s">
        <v>50</v>
      </c>
      <c r="K8" s="51" t="s">
        <v>50</v>
      </c>
      <c r="L8" s="51" t="s">
        <v>50</v>
      </c>
      <c r="M8" s="51" t="s">
        <v>50</v>
      </c>
      <c r="Q8" s="51" t="s">
        <v>50</v>
      </c>
      <c r="R8" s="51" t="s">
        <v>50</v>
      </c>
      <c r="S8" s="107" t="s">
        <v>186</v>
      </c>
      <c r="Y8" s="51" t="s">
        <v>39</v>
      </c>
    </row>
    <row r="10" spans="1:25" x14ac:dyDescent="0.25">
      <c r="A10" t="s">
        <v>152</v>
      </c>
      <c r="B10" s="106">
        <f>+'Forecast - Summary CF by Qtr'!B30</f>
        <v>3815</v>
      </c>
      <c r="C10" s="106">
        <f>+'Forecast - Summary CF by Qtr'!C30</f>
        <v>6779</v>
      </c>
      <c r="D10" s="106">
        <f>+'Forecast - Summary CF by Qtr'!D30</f>
        <v>7634</v>
      </c>
      <c r="E10" s="106">
        <f>+'Forecast - Summary CF by Qtr'!E30</f>
        <v>10598</v>
      </c>
      <c r="F10" s="106">
        <f>+'Forecast - Summary CF by Qtr'!F30</f>
        <v>8529</v>
      </c>
      <c r="G10" s="106">
        <f>+'Forecast - Summary CF by Qtr'!G30</f>
        <v>4824</v>
      </c>
      <c r="H10" s="106">
        <f>+'Forecast - Summary CF by Qtr'!H30</f>
        <v>13769</v>
      </c>
      <c r="I10" s="106">
        <f>+'Forecast - Summary CF by Qtr'!I30</f>
        <v>13944</v>
      </c>
      <c r="J10" s="106">
        <f>+'Forecast - Summary CF by Qtr'!J30</f>
        <v>13694</v>
      </c>
      <c r="K10" s="106">
        <f>+'Forecast - Summary CF by Qtr'!K30</f>
        <v>14182</v>
      </c>
      <c r="L10" s="106">
        <f>+'Forecast - Summary CF by Qtr'!L30</f>
        <v>0</v>
      </c>
      <c r="M10" s="106">
        <f>+'Forecast - Summary CF by Qtr'!M30</f>
        <v>0</v>
      </c>
      <c r="N10" s="7"/>
      <c r="O10" s="7"/>
      <c r="P10" s="7"/>
      <c r="Q10" s="106">
        <f>+J10</f>
        <v>13694</v>
      </c>
      <c r="R10" s="106">
        <f>+'CF Summary by Qtr'!J10</f>
        <v>13694</v>
      </c>
      <c r="S10" s="108">
        <f>+Q10-R10</f>
        <v>0</v>
      </c>
      <c r="X10" t="s">
        <v>152</v>
      </c>
      <c r="Y10" s="106">
        <f>+'CF Summary by Year'!H10</f>
        <v>8529</v>
      </c>
    </row>
    <row r="11" spans="1:25" x14ac:dyDescent="0.25">
      <c r="B11" s="7"/>
      <c r="C11" s="7"/>
      <c r="D11" s="7"/>
      <c r="E11" s="7"/>
      <c r="F11" s="7"/>
      <c r="G11" s="7"/>
      <c r="H11" s="7"/>
      <c r="I11" s="7"/>
      <c r="J11" s="7"/>
      <c r="K11" s="7"/>
      <c r="L11" s="7"/>
      <c r="M11" s="7"/>
      <c r="N11" s="7"/>
      <c r="O11" s="7"/>
      <c r="P11" s="7"/>
      <c r="Q11" s="7"/>
      <c r="R11" s="7"/>
      <c r="Y11" s="7"/>
    </row>
    <row r="12" spans="1:25" x14ac:dyDescent="0.25">
      <c r="A12" t="s">
        <v>19</v>
      </c>
      <c r="B12" s="7">
        <f>+'Forecast - Summary CF by Qtr'!B10</f>
        <v>3235</v>
      </c>
      <c r="C12" s="7">
        <f>+'Forecast - Summary CF by Qtr'!C10</f>
        <v>5373</v>
      </c>
      <c r="D12" s="7">
        <f>+'Forecast - Summary CF by Qtr'!D10</f>
        <v>4069</v>
      </c>
      <c r="E12" s="7">
        <f>+'Forecast - Summary CF by Qtr'!E10</f>
        <v>219</v>
      </c>
      <c r="F12" s="7">
        <f>+'Forecast - Summary CF by Qtr'!F10</f>
        <v>4532</v>
      </c>
      <c r="G12" s="7">
        <f>+'Forecast - Summary CF by Qtr'!G10</f>
        <v>5780</v>
      </c>
      <c r="H12" s="7">
        <f>+'Forecast - Summary CF by Qtr'!H10</f>
        <v>4599</v>
      </c>
      <c r="I12" s="7">
        <f>+'Forecast - Summary CF by Qtr'!I10</f>
        <v>2333</v>
      </c>
      <c r="J12" s="7">
        <f>+'Forecast - Summary CF by Qtr'!J10</f>
        <v>0</v>
      </c>
      <c r="K12" s="7">
        <f>+'Forecast - Summary CF by Qtr'!K10</f>
        <v>0</v>
      </c>
      <c r="L12" s="7">
        <f>+'Forecast - Summary CF by Qtr'!L10</f>
        <v>0</v>
      </c>
      <c r="M12" s="7">
        <f>+'Forecast - Summary CF by Qtr'!M10</f>
        <v>0</v>
      </c>
      <c r="N12" s="7"/>
      <c r="O12" s="7"/>
      <c r="P12" s="7"/>
      <c r="Q12" s="7">
        <f t="shared" ref="Q12:Q17" si="0">+J12</f>
        <v>0</v>
      </c>
      <c r="R12" s="7">
        <f>+'CF Summary by Qtr'!J12</f>
        <v>4550</v>
      </c>
      <c r="S12" s="7">
        <f>+Q12-R12</f>
        <v>-4550</v>
      </c>
      <c r="X12" t="s">
        <v>19</v>
      </c>
      <c r="Y12" s="80">
        <f>+'CF Summary by Year'!H12</f>
        <v>17244</v>
      </c>
    </row>
    <row r="13" spans="1:25" x14ac:dyDescent="0.25">
      <c r="A13" t="s">
        <v>13</v>
      </c>
      <c r="B13" s="7">
        <f>+'Forecast - Summary CF by Qtr'!B11</f>
        <v>2998</v>
      </c>
      <c r="C13" s="7">
        <f>+'Forecast - Summary CF by Qtr'!C11</f>
        <v>3194</v>
      </c>
      <c r="D13" s="7">
        <f>+'Forecast - Summary CF by Qtr'!D11</f>
        <v>3230</v>
      </c>
      <c r="E13" s="7">
        <f>+'Forecast - Summary CF by Qtr'!E11</f>
        <v>3405</v>
      </c>
      <c r="F13" s="7">
        <f>+'Forecast - Summary CF by Qtr'!F11</f>
        <v>3492</v>
      </c>
      <c r="G13" s="7">
        <f>+'Forecast - Summary CF by Qtr'!G11</f>
        <v>3707</v>
      </c>
      <c r="H13" s="7">
        <f>+'Forecast - Summary CF by Qtr'!H11</f>
        <v>3821</v>
      </c>
      <c r="I13" s="7">
        <f>+'Forecast - Summary CF by Qtr'!I11</f>
        <v>4076</v>
      </c>
      <c r="J13" s="7">
        <f>+'Forecast - Summary CF by Qtr'!J11</f>
        <v>0</v>
      </c>
      <c r="K13" s="7">
        <f>+'Forecast - Summary CF by Qtr'!K11</f>
        <v>0</v>
      </c>
      <c r="L13" s="7">
        <f>+'Forecast - Summary CF by Qtr'!L11</f>
        <v>0</v>
      </c>
      <c r="M13" s="7">
        <f>+'Forecast - Summary CF by Qtr'!M11</f>
        <v>0</v>
      </c>
      <c r="N13" s="7"/>
      <c r="O13" s="7"/>
      <c r="P13" s="7"/>
      <c r="Q13" s="80">
        <f t="shared" si="0"/>
        <v>0</v>
      </c>
      <c r="R13" s="7">
        <f>+'CF Summary by Qtr'!J13</f>
        <v>4161</v>
      </c>
      <c r="S13" s="80">
        <f t="shared" ref="S13:S17" si="1">+Q13-R13</f>
        <v>-4161</v>
      </c>
      <c r="X13" t="s">
        <v>13</v>
      </c>
      <c r="Y13" s="80">
        <f>+'CF Summary by Year'!H13</f>
        <v>15081</v>
      </c>
    </row>
    <row r="14" spans="1:25" x14ac:dyDescent="0.25">
      <c r="A14" t="s">
        <v>153</v>
      </c>
      <c r="B14" s="7">
        <f>+'Forecast - Summary CF by Qtr'!B15</f>
        <v>-2152</v>
      </c>
      <c r="C14" s="7">
        <f>+'Forecast - Summary CF by Qtr'!C15</f>
        <v>4640</v>
      </c>
      <c r="D14" s="7">
        <f>+'Forecast - Summary CF by Qtr'!D15</f>
        <v>-400</v>
      </c>
      <c r="E14" s="7">
        <f>+'Forecast - Summary CF by Qtr'!E15</f>
        <v>2371</v>
      </c>
      <c r="F14" s="7">
        <f>+'Forecast - Summary CF by Qtr'!F15</f>
        <v>-3724</v>
      </c>
      <c r="G14" s="7">
        <f>+'Forecast - Summary CF by Qtr'!G15</f>
        <v>11180</v>
      </c>
      <c r="H14" s="7">
        <f>+'Forecast - Summary CF by Qtr'!H15</f>
        <v>-2706</v>
      </c>
      <c r="I14" s="7">
        <f>+'Forecast - Summary CF by Qtr'!I15</f>
        <v>809</v>
      </c>
      <c r="J14" s="7">
        <f>+'Forecast - Summary CF by Qtr'!J15</f>
        <v>-28106</v>
      </c>
      <c r="K14" s="7">
        <f>+'Forecast - Summary CF by Qtr'!K15</f>
        <v>0</v>
      </c>
      <c r="L14" s="7">
        <f>+'Forecast - Summary CF by Qtr'!L15</f>
        <v>0</v>
      </c>
      <c r="M14" s="7">
        <f>+'Forecast - Summary CF by Qtr'!M15</f>
        <v>0</v>
      </c>
      <c r="N14" s="7"/>
      <c r="O14" s="7"/>
      <c r="P14" s="7"/>
      <c r="Q14" s="80">
        <f t="shared" si="0"/>
        <v>-28106</v>
      </c>
      <c r="R14" s="7">
        <f>+'CF Summary by Qtr'!J14</f>
        <v>-3242</v>
      </c>
      <c r="S14" s="80">
        <f t="shared" si="1"/>
        <v>-24864</v>
      </c>
      <c r="X14" t="s">
        <v>153</v>
      </c>
      <c r="Y14" s="80">
        <f>+'CF Summary by Year'!H14</f>
        <v>4504</v>
      </c>
    </row>
    <row r="15" spans="1:25" x14ac:dyDescent="0.25">
      <c r="A15" t="s">
        <v>154</v>
      </c>
      <c r="B15" s="7">
        <f>+'Forecast - Summary CF by Qtr'!B23</f>
        <v>-5370</v>
      </c>
      <c r="C15" s="7">
        <f>+'Forecast - Summary CF by Qtr'!C23</f>
        <v>-5321</v>
      </c>
      <c r="D15" s="7">
        <f>+'Forecast - Summary CF by Qtr'!D23</f>
        <v>-7721</v>
      </c>
      <c r="E15" s="7">
        <f>+'Forecast - Summary CF by Qtr'!E23</f>
        <v>-13588</v>
      </c>
      <c r="F15" s="7">
        <f>+'Forecast - Summary CF by Qtr'!F23</f>
        <v>-11053</v>
      </c>
      <c r="G15" s="7">
        <f>+'Forecast - Summary CF by Qtr'!G23</f>
        <v>-11837</v>
      </c>
      <c r="H15" s="7">
        <f>+'Forecast - Summary CF by Qtr'!H23</f>
        <v>-11319</v>
      </c>
      <c r="I15" s="7">
        <f>+'Forecast - Summary CF by Qtr'!I23</f>
        <v>-10393</v>
      </c>
      <c r="J15" s="7">
        <f>+'Forecast - Summary CF by Qtr'!J23</f>
        <v>0</v>
      </c>
      <c r="K15" s="7">
        <f>+'Forecast - Summary CF by Qtr'!K23</f>
        <v>0</v>
      </c>
      <c r="L15" s="7">
        <f>+'Forecast - Summary CF by Qtr'!L23</f>
        <v>0</v>
      </c>
      <c r="M15" s="7">
        <f>+'Forecast - Summary CF by Qtr'!M23</f>
        <v>0</v>
      </c>
      <c r="N15" s="7"/>
      <c r="O15" s="7"/>
      <c r="P15" s="7"/>
      <c r="Q15" s="80">
        <f t="shared" si="0"/>
        <v>0</v>
      </c>
      <c r="R15" s="7">
        <f>+'CF Summary by Qtr'!J15</f>
        <v>-7358</v>
      </c>
      <c r="S15" s="80">
        <f t="shared" si="1"/>
        <v>7358</v>
      </c>
      <c r="X15" s="55" t="s">
        <v>177</v>
      </c>
      <c r="Y15" s="80">
        <f>+'CF Summary by Year'!H15</f>
        <v>8124</v>
      </c>
    </row>
    <row r="16" spans="1:25" x14ac:dyDescent="0.25">
      <c r="A16" t="s">
        <v>155</v>
      </c>
      <c r="B16" s="7">
        <f>SUM('CF by Qtr'!B38:B39)</f>
        <v>-250</v>
      </c>
      <c r="C16" s="7">
        <f>SUM('CF by Qtr'!C38:C39)</f>
        <v>-8500</v>
      </c>
      <c r="D16" s="7">
        <f>SUM('CF by Qtr'!D38:D39)</f>
        <v>0</v>
      </c>
      <c r="E16" s="7">
        <f>SUM('CF by Qtr'!E38:E39)</f>
        <v>0</v>
      </c>
      <c r="F16" s="7">
        <f>SUM('CF by Qtr'!F38:F39)</f>
        <v>0</v>
      </c>
      <c r="G16" s="7">
        <f>SUM('CF by Qtr'!G38:G39)</f>
        <v>0</v>
      </c>
      <c r="H16" s="7">
        <f>SUM('CF by Qtr'!H38:H39)</f>
        <v>0</v>
      </c>
      <c r="I16" s="7">
        <f>SUM('CF by Qtr'!I38:I39)</f>
        <v>0</v>
      </c>
      <c r="J16" s="7">
        <f>SUM('CF by Qtr'!J38:J39)</f>
        <v>0</v>
      </c>
      <c r="K16" s="7">
        <f>SUM('CF by Qtr'!K38:K39)</f>
        <v>0</v>
      </c>
      <c r="L16" s="7">
        <f>SUM('CF by Qtr'!P38:P39)</f>
        <v>-8750</v>
      </c>
      <c r="M16" s="7">
        <f>SUM('CF by Qtr'!Q38:Q39)</f>
        <v>0</v>
      </c>
      <c r="N16" s="7"/>
      <c r="O16" s="7"/>
      <c r="P16" s="7"/>
      <c r="Q16" s="80">
        <f t="shared" si="0"/>
        <v>0</v>
      </c>
      <c r="R16" s="7">
        <f>+'CF Summary by Qtr'!J16</f>
        <v>0</v>
      </c>
      <c r="S16" s="80">
        <f t="shared" si="1"/>
        <v>0</v>
      </c>
      <c r="X16" t="s">
        <v>154</v>
      </c>
      <c r="Y16" s="80">
        <f>+'CF Summary by Year'!H16</f>
        <v>-41885</v>
      </c>
    </row>
    <row r="17" spans="1:25" x14ac:dyDescent="0.25">
      <c r="A17" t="s">
        <v>191</v>
      </c>
      <c r="B17" s="64">
        <f t="shared" ref="B17:I17" si="2">+B21-B10-SUM(B12:B16)</f>
        <v>4503</v>
      </c>
      <c r="C17" s="64">
        <f t="shared" si="2"/>
        <v>1469</v>
      </c>
      <c r="D17" s="64">
        <f t="shared" si="2"/>
        <v>3786</v>
      </c>
      <c r="E17" s="64">
        <f t="shared" si="2"/>
        <v>5524</v>
      </c>
      <c r="F17" s="64">
        <f t="shared" si="2"/>
        <v>3944</v>
      </c>
      <c r="G17" s="64">
        <f t="shared" si="2"/>
        <v>115</v>
      </c>
      <c r="H17" s="64">
        <f t="shared" si="2"/>
        <v>5780</v>
      </c>
      <c r="I17" s="64">
        <f t="shared" si="2"/>
        <v>2925</v>
      </c>
      <c r="J17" s="64">
        <f t="shared" ref="J17:M17" si="3">+J21-J10-SUM(J12:J16)</f>
        <v>-41562</v>
      </c>
      <c r="K17" s="64">
        <f t="shared" si="3"/>
        <v>0</v>
      </c>
      <c r="L17" s="64">
        <f t="shared" si="3"/>
        <v>8750</v>
      </c>
      <c r="M17" s="64">
        <f t="shared" si="3"/>
        <v>0</v>
      </c>
      <c r="N17" s="7"/>
      <c r="O17" s="7"/>
      <c r="P17" s="7"/>
      <c r="Q17" s="64">
        <f t="shared" si="0"/>
        <v>-41562</v>
      </c>
      <c r="R17" s="64">
        <f>+'CF Summary by Qtr'!J17</f>
        <v>2377</v>
      </c>
      <c r="S17" s="64">
        <f t="shared" si="1"/>
        <v>-43939</v>
      </c>
      <c r="X17" t="s">
        <v>191</v>
      </c>
      <c r="Y17" s="64">
        <f>+'CF Summary by Year'!H17</f>
        <v>2097</v>
      </c>
    </row>
    <row r="18" spans="1:25" x14ac:dyDescent="0.25">
      <c r="B18" s="7"/>
      <c r="C18" s="7"/>
      <c r="D18" s="7"/>
      <c r="E18" s="7"/>
      <c r="F18" s="7"/>
      <c r="G18" s="7"/>
      <c r="H18" s="7"/>
      <c r="I18" s="7"/>
      <c r="J18" s="7"/>
      <c r="K18" s="7"/>
      <c r="L18" s="7"/>
      <c r="M18" s="7"/>
      <c r="N18" s="7"/>
      <c r="O18" s="7"/>
      <c r="P18" s="7"/>
      <c r="Q18" s="7"/>
      <c r="R18" s="7"/>
      <c r="Y18" s="7"/>
    </row>
    <row r="19" spans="1:25" x14ac:dyDescent="0.25">
      <c r="A19" t="s">
        <v>157</v>
      </c>
      <c r="B19" s="7">
        <f t="shared" ref="B19:I19" si="4">SUM(B12:B17)</f>
        <v>2964</v>
      </c>
      <c r="C19" s="7">
        <f t="shared" si="4"/>
        <v>855</v>
      </c>
      <c r="D19" s="7">
        <f t="shared" si="4"/>
        <v>2964</v>
      </c>
      <c r="E19" s="7">
        <f t="shared" si="4"/>
        <v>-2069</v>
      </c>
      <c r="F19" s="7">
        <f t="shared" si="4"/>
        <v>-2809</v>
      </c>
      <c r="G19" s="7">
        <f t="shared" si="4"/>
        <v>8945</v>
      </c>
      <c r="H19" s="7">
        <f t="shared" si="4"/>
        <v>175</v>
      </c>
      <c r="I19" s="7">
        <f t="shared" si="4"/>
        <v>-250</v>
      </c>
      <c r="J19" s="7">
        <f t="shared" ref="J19:M19" si="5">SUM(J12:J17)</f>
        <v>-69668</v>
      </c>
      <c r="K19" s="7">
        <f t="shared" si="5"/>
        <v>0</v>
      </c>
      <c r="L19" s="7">
        <f t="shared" si="5"/>
        <v>0</v>
      </c>
      <c r="M19" s="7">
        <f t="shared" si="5"/>
        <v>0</v>
      </c>
      <c r="N19" s="7"/>
      <c r="O19" s="7"/>
      <c r="P19" s="7"/>
      <c r="Q19" s="7">
        <f>SUM(Q12:Q17)</f>
        <v>-69668</v>
      </c>
      <c r="R19" s="7">
        <f>SUM(R12:R17)</f>
        <v>488</v>
      </c>
      <c r="S19" s="7">
        <f>SUM(S12:S17)</f>
        <v>-70156</v>
      </c>
      <c r="X19" t="s">
        <v>157</v>
      </c>
      <c r="Y19" s="7">
        <f>SUM(Y12:Y17)</f>
        <v>5165</v>
      </c>
    </row>
    <row r="20" spans="1:25" x14ac:dyDescent="0.25">
      <c r="B20" s="7"/>
      <c r="C20" s="7"/>
      <c r="D20" s="7"/>
      <c r="E20" s="7"/>
      <c r="F20" s="7"/>
      <c r="G20" s="7"/>
      <c r="H20" s="7"/>
      <c r="I20" s="7"/>
      <c r="J20" s="7"/>
      <c r="K20" s="7"/>
      <c r="L20" s="7"/>
      <c r="M20" s="7"/>
      <c r="N20" s="7"/>
      <c r="O20" s="7"/>
      <c r="P20" s="7"/>
      <c r="Q20" s="7"/>
      <c r="R20" s="7"/>
      <c r="S20" s="7"/>
      <c r="Y20" s="7"/>
    </row>
    <row r="21" spans="1:25" ht="15.75" thickBot="1" x14ac:dyDescent="0.3">
      <c r="A21" t="s">
        <v>156</v>
      </c>
      <c r="B21" s="106">
        <f>+'Forecast - Summary CF by Qtr'!B32</f>
        <v>6779</v>
      </c>
      <c r="C21" s="106">
        <f>+'Forecast - Summary CF by Qtr'!C32</f>
        <v>7634</v>
      </c>
      <c r="D21" s="106">
        <f>+'Forecast - Summary CF by Qtr'!D32</f>
        <v>10598</v>
      </c>
      <c r="E21" s="106">
        <f>+'Forecast - Summary CF by Qtr'!E32</f>
        <v>8529</v>
      </c>
      <c r="F21" s="102">
        <f>+'Forecast - Summary CF by Qtr'!F32</f>
        <v>5720</v>
      </c>
      <c r="G21" s="102">
        <f>+'Forecast - Summary CF by Qtr'!G32</f>
        <v>13769</v>
      </c>
      <c r="H21" s="102">
        <f>+'Forecast - Summary CF by Qtr'!H32</f>
        <v>13944</v>
      </c>
      <c r="I21" s="102">
        <f>+'Forecast - Summary CF by Qtr'!I32</f>
        <v>13694</v>
      </c>
      <c r="J21" s="102">
        <f>+'Forecast - Summary CF by Qtr'!J32</f>
        <v>-55974</v>
      </c>
      <c r="K21" s="106">
        <f>+'Forecast - Summary CF by Qtr'!K32</f>
        <v>14182</v>
      </c>
      <c r="L21" s="106">
        <f>+'Forecast - Summary CF by Qtr'!L32</f>
        <v>0</v>
      </c>
      <c r="M21" s="106">
        <f>+'Forecast - Summary CF by Qtr'!M32</f>
        <v>0</v>
      </c>
      <c r="N21" s="7"/>
      <c r="O21" s="7"/>
      <c r="P21" s="7"/>
      <c r="Q21" s="102">
        <f>+J21</f>
        <v>-55974</v>
      </c>
      <c r="R21" s="102">
        <f>+R10+R19</f>
        <v>14182</v>
      </c>
      <c r="S21" s="102">
        <f>+S10+S19</f>
        <v>-70156</v>
      </c>
      <c r="X21" t="s">
        <v>156</v>
      </c>
      <c r="Y21" s="102">
        <f>+'CF Summary by Year'!H21</f>
        <v>13694</v>
      </c>
    </row>
    <row r="22" spans="1:25" ht="15.75" thickTop="1" x14ac:dyDescent="0.25">
      <c r="B22" s="7"/>
      <c r="C22" s="7"/>
      <c r="D22" s="7"/>
      <c r="E22" s="7"/>
      <c r="F22" s="7"/>
      <c r="G22" s="7"/>
      <c r="H22" s="7"/>
      <c r="I22" s="7"/>
      <c r="J22" s="7"/>
      <c r="K22" s="7"/>
      <c r="L22" s="7"/>
      <c r="M22" s="7"/>
      <c r="N22" s="7"/>
      <c r="O22" s="7"/>
      <c r="P22" s="7"/>
      <c r="Q22" s="7"/>
    </row>
    <row r="23" spans="1:25" x14ac:dyDescent="0.25">
      <c r="B23" s="7"/>
      <c r="C23" s="7"/>
      <c r="D23" s="7"/>
      <c r="E23" s="7"/>
      <c r="F23" s="7"/>
      <c r="G23" s="7"/>
      <c r="H23" s="7"/>
      <c r="I23" s="7"/>
      <c r="J23" s="7"/>
      <c r="K23" s="7"/>
      <c r="L23" s="7"/>
      <c r="M23" s="7"/>
      <c r="N23" s="7"/>
      <c r="O23" s="7"/>
      <c r="P23" s="7"/>
      <c r="Q23" s="7"/>
    </row>
    <row r="24" spans="1:25" x14ac:dyDescent="0.25">
      <c r="A24" t="s">
        <v>192</v>
      </c>
      <c r="B24" s="7">
        <f>+'Actual - Summary BS by Qtr'!C10</f>
        <v>6779</v>
      </c>
      <c r="C24" s="7">
        <f>+'Actual - Summary BS by Qtr'!D10</f>
        <v>7634</v>
      </c>
      <c r="D24" s="7">
        <f>+'Actual - Summary BS by Qtr'!E10</f>
        <v>10598</v>
      </c>
      <c r="E24" s="7">
        <f>+'Actual - Summary BS by Qtr'!F10</f>
        <v>8529</v>
      </c>
      <c r="F24" s="7">
        <f>+'Actual - Summary BS by Qtr'!G10</f>
        <v>4824</v>
      </c>
      <c r="G24" s="7">
        <f>+'Actual - Summary BS by Qtr'!H10</f>
        <v>13769</v>
      </c>
      <c r="H24" s="7">
        <f>+'Actual - Summary BS by Qtr'!I10</f>
        <v>13944</v>
      </c>
      <c r="I24" s="7">
        <f>+'Actual - Summary BS by Qtr'!J10</f>
        <v>13694</v>
      </c>
      <c r="J24" s="7"/>
      <c r="K24" s="7"/>
      <c r="L24" s="7"/>
      <c r="M24" s="7"/>
      <c r="N24" s="7"/>
      <c r="O24" s="7"/>
      <c r="P24" s="7"/>
      <c r="Q24" s="7"/>
      <c r="R24" s="97">
        <f>+'Actual - Summary BS by Qtr'!G10</f>
        <v>4824</v>
      </c>
    </row>
    <row r="25" spans="1:25" x14ac:dyDescent="0.25">
      <c r="B25" s="7"/>
      <c r="C25" s="7"/>
      <c r="D25" s="7"/>
      <c r="E25" s="7"/>
      <c r="F25" s="7"/>
      <c r="G25" s="7"/>
      <c r="H25" s="7"/>
      <c r="I25" s="7"/>
      <c r="J25" s="7">
        <v>14182</v>
      </c>
      <c r="K25" s="7"/>
      <c r="L25" s="7"/>
      <c r="M25" s="7"/>
      <c r="N25" s="7"/>
      <c r="O25" s="7"/>
      <c r="P25" s="7"/>
      <c r="Q25" s="7"/>
    </row>
    <row r="26" spans="1:25" x14ac:dyDescent="0.25">
      <c r="B26" s="7"/>
      <c r="C26" s="7"/>
      <c r="D26" s="7"/>
      <c r="E26" s="7"/>
      <c r="F26" s="7"/>
      <c r="G26" s="7"/>
      <c r="H26" s="7"/>
      <c r="I26" s="7"/>
      <c r="J26" s="7"/>
      <c r="K26" s="7"/>
      <c r="L26" s="7"/>
      <c r="M26" s="7"/>
      <c r="N26" s="7"/>
      <c r="O26" s="7"/>
      <c r="P26" s="7"/>
      <c r="Q26" s="7"/>
    </row>
    <row r="27" spans="1:25" x14ac:dyDescent="0.25">
      <c r="B27" s="7"/>
      <c r="C27" s="7"/>
      <c r="D27" s="7"/>
      <c r="E27" s="7"/>
      <c r="F27" s="7"/>
      <c r="G27" s="7"/>
      <c r="H27" s="7"/>
      <c r="I27" s="7"/>
      <c r="J27" s="7"/>
      <c r="K27" s="7"/>
      <c r="L27" s="7"/>
      <c r="M27" s="7"/>
      <c r="N27" s="7"/>
      <c r="O27" s="7"/>
      <c r="P27" s="7"/>
      <c r="Q27" s="7"/>
    </row>
    <row r="28" spans="1:25" x14ac:dyDescent="0.25">
      <c r="A28" s="55" t="s">
        <v>140</v>
      </c>
      <c r="B28" s="7"/>
      <c r="C28" s="7"/>
      <c r="D28" s="7"/>
      <c r="E28" s="7"/>
      <c r="F28" s="7"/>
      <c r="G28" s="7"/>
      <c r="H28" s="7"/>
      <c r="I28" s="7"/>
      <c r="J28" s="7"/>
      <c r="K28" s="7"/>
      <c r="L28" s="7"/>
      <c r="M28" s="7"/>
      <c r="N28" s="7"/>
      <c r="O28" s="7"/>
      <c r="P28" s="7"/>
      <c r="Q28" s="7"/>
    </row>
    <row r="29" spans="1:25" x14ac:dyDescent="0.25">
      <c r="A29" s="55" t="s">
        <v>141</v>
      </c>
      <c r="B29" s="7"/>
      <c r="C29" s="7"/>
      <c r="D29" s="7"/>
      <c r="E29" s="7"/>
      <c r="F29" s="7"/>
      <c r="G29" s="7"/>
      <c r="H29" s="7"/>
      <c r="I29" s="7"/>
      <c r="J29" s="7"/>
      <c r="K29" s="7"/>
      <c r="L29" s="7"/>
      <c r="M29" s="7"/>
      <c r="N29" s="7"/>
      <c r="O29" s="7"/>
      <c r="P29" s="7"/>
      <c r="Q29" s="7"/>
      <c r="Y29" s="48" t="s">
        <v>65</v>
      </c>
    </row>
    <row r="30" spans="1:25" x14ac:dyDescent="0.25">
      <c r="A30" s="55" t="s">
        <v>142</v>
      </c>
      <c r="B30" s="7"/>
      <c r="C30" s="7"/>
      <c r="D30" s="7"/>
      <c r="E30" s="7"/>
      <c r="F30" s="7"/>
      <c r="G30" s="7"/>
      <c r="H30" s="7"/>
      <c r="I30" s="7"/>
      <c r="J30" s="7"/>
      <c r="K30" s="7"/>
      <c r="L30" s="7"/>
      <c r="M30" s="7"/>
      <c r="N30" s="7"/>
      <c r="O30" s="7"/>
      <c r="P30" s="7"/>
      <c r="Q30" s="7"/>
      <c r="X30" s="112" t="s">
        <v>158</v>
      </c>
      <c r="Y30" s="50" t="s">
        <v>161</v>
      </c>
    </row>
    <row r="31" spans="1:25" x14ac:dyDescent="0.25">
      <c r="A31" s="55" t="s">
        <v>143</v>
      </c>
      <c r="B31" s="7"/>
      <c r="C31" s="7"/>
      <c r="D31" s="7"/>
      <c r="E31" s="7"/>
      <c r="F31" s="7">
        <f>+'Forecast - Summary CF by Qtr'!F41</f>
        <v>2726</v>
      </c>
      <c r="G31" s="7">
        <f>+'Forecast - Summary CF by Qtr'!G41</f>
        <v>322</v>
      </c>
      <c r="H31" s="7">
        <f>+'Forecast - Summary CF by Qtr'!H41</f>
        <v>-691</v>
      </c>
      <c r="I31" s="7">
        <f>+'Forecast - Summary CF by Qtr'!I41</f>
        <v>-166</v>
      </c>
      <c r="J31" s="7"/>
      <c r="K31" s="7"/>
      <c r="L31" s="7"/>
      <c r="M31" s="7"/>
      <c r="N31" s="7"/>
      <c r="O31" s="7"/>
      <c r="P31" s="7"/>
      <c r="Q31" s="7"/>
      <c r="R31" s="7">
        <f>+'Forecast - Summary CF by Qtr'!Q41</f>
        <v>2639</v>
      </c>
      <c r="X31" s="112" t="s">
        <v>223</v>
      </c>
      <c r="Y31" s="51" t="s">
        <v>39</v>
      </c>
    </row>
    <row r="32" spans="1:25" x14ac:dyDescent="0.25">
      <c r="B32" s="7"/>
      <c r="C32" s="7"/>
      <c r="D32" s="7"/>
      <c r="E32" s="7"/>
      <c r="F32" s="7"/>
      <c r="G32" s="7"/>
      <c r="H32" s="7"/>
      <c r="I32" s="7"/>
      <c r="J32" s="7"/>
      <c r="K32" s="7"/>
      <c r="L32" s="7"/>
      <c r="M32" s="7"/>
      <c r="N32" s="7"/>
      <c r="O32" s="7"/>
      <c r="P32" s="7"/>
      <c r="Q32" s="7"/>
    </row>
    <row r="33" spans="2:25" x14ac:dyDescent="0.25">
      <c r="B33" s="7"/>
      <c r="C33" s="7"/>
      <c r="D33" s="7"/>
      <c r="E33" s="7"/>
      <c r="F33" s="7"/>
      <c r="G33" s="7"/>
      <c r="H33" s="7"/>
      <c r="I33" s="7"/>
      <c r="J33" s="7"/>
      <c r="K33" s="7"/>
      <c r="L33" s="7"/>
      <c r="M33" s="7"/>
      <c r="N33" s="7"/>
      <c r="O33" s="7"/>
      <c r="P33" s="7"/>
      <c r="Q33" s="7"/>
      <c r="X33" t="s">
        <v>152</v>
      </c>
      <c r="Y33" s="106">
        <f>+Y10</f>
        <v>8529</v>
      </c>
    </row>
    <row r="34" spans="2:25" x14ac:dyDescent="0.25">
      <c r="B34" s="7"/>
      <c r="C34" s="7"/>
      <c r="D34" s="7"/>
      <c r="E34" s="7"/>
      <c r="F34" s="7"/>
      <c r="G34" s="7"/>
      <c r="H34" s="7"/>
      <c r="I34" s="7"/>
      <c r="J34" s="7"/>
      <c r="K34" s="7"/>
      <c r="L34" s="7"/>
      <c r="M34" s="7"/>
      <c r="N34" s="7"/>
      <c r="O34" s="7"/>
      <c r="P34" s="7"/>
      <c r="Q34" s="7"/>
      <c r="Y34" s="7"/>
    </row>
    <row r="35" spans="2:25" x14ac:dyDescent="0.25">
      <c r="B35" s="7"/>
      <c r="C35" s="7"/>
      <c r="D35" s="7"/>
      <c r="E35" s="7"/>
      <c r="F35" s="7"/>
      <c r="G35" s="7"/>
      <c r="H35" s="7"/>
      <c r="I35" s="7"/>
      <c r="J35" s="7"/>
      <c r="K35" s="7"/>
      <c r="L35" s="7"/>
      <c r="M35" s="7"/>
      <c r="N35" s="7"/>
      <c r="O35" s="7"/>
      <c r="P35" s="7"/>
      <c r="Q35" s="7"/>
      <c r="X35" s="112" t="s">
        <v>19</v>
      </c>
      <c r="Y35" s="126">
        <f>+Y12</f>
        <v>17244</v>
      </c>
    </row>
    <row r="36" spans="2:25" x14ac:dyDescent="0.25">
      <c r="X36" s="112" t="s">
        <v>13</v>
      </c>
      <c r="Y36" s="126">
        <f t="shared" ref="Y36" si="6">+Y13</f>
        <v>15081</v>
      </c>
    </row>
    <row r="37" spans="2:25" x14ac:dyDescent="0.25">
      <c r="X37" s="112" t="s">
        <v>154</v>
      </c>
      <c r="Y37" s="126">
        <f>+Y16</f>
        <v>-41885</v>
      </c>
    </row>
    <row r="38" spans="2:25" x14ac:dyDescent="0.25">
      <c r="X38" t="s">
        <v>191</v>
      </c>
      <c r="Y38" s="64">
        <f>+Y14+Y15+Y17</f>
        <v>14725</v>
      </c>
    </row>
    <row r="39" spans="2:25" x14ac:dyDescent="0.25">
      <c r="Y39" s="7"/>
    </row>
    <row r="40" spans="2:25" x14ac:dyDescent="0.25">
      <c r="X40" t="s">
        <v>157</v>
      </c>
      <c r="Y40" s="7">
        <f>SUM(Y35:Y38)</f>
        <v>5165</v>
      </c>
    </row>
    <row r="41" spans="2:25" x14ac:dyDescent="0.25">
      <c r="Y41" s="7"/>
    </row>
    <row r="42" spans="2:25" ht="15.75" thickBot="1" x14ac:dyDescent="0.3">
      <c r="X42" t="s">
        <v>156</v>
      </c>
      <c r="Y42" s="102">
        <f>+Y33+Y40</f>
        <v>13694</v>
      </c>
    </row>
    <row r="43" spans="2:25" ht="15.75" thickTop="1" x14ac:dyDescent="0.25"/>
  </sheetData>
  <pageMargins left="0.7" right="0.7" top="0.75" bottom="0.75" header="0.3" footer="0.3"/>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vt:i4>
      </vt:variant>
    </vt:vector>
  </HeadingPairs>
  <TitlesOfParts>
    <vt:vector size="29" baseType="lpstr">
      <vt:lpstr>Notes</vt:lpstr>
      <vt:lpstr>For Exercise 1</vt:lpstr>
      <vt:lpstr>For Exercise 2</vt:lpstr>
      <vt:lpstr>2-Minute Summary</vt:lpstr>
      <vt:lpstr>The 3 Questions</vt:lpstr>
      <vt:lpstr>Forecast - Summary IS by Qtr</vt:lpstr>
      <vt:lpstr>Forecast - Summary BS by Qtr</vt:lpstr>
      <vt:lpstr>Forecast - Summary CF by Qtr</vt:lpstr>
      <vt:lpstr>Forecast - Summary CF Drivers</vt:lpstr>
      <vt:lpstr>Forecast - Summary Assumptions</vt:lpstr>
      <vt:lpstr>Actual - Summary IS by Qtr</vt:lpstr>
      <vt:lpstr>Actual - Summary BS by Qtr</vt:lpstr>
      <vt:lpstr>Actual - Summary CF by Qtr</vt:lpstr>
      <vt:lpstr>Actual - Summary Assumptions</vt:lpstr>
      <vt:lpstr>CF Summary by Year</vt:lpstr>
      <vt:lpstr>CF Summary by Qtr</vt:lpstr>
      <vt:lpstr>CF by Qtr</vt:lpstr>
      <vt:lpstr>BS by Qtr</vt:lpstr>
      <vt:lpstr>IS by Qtr</vt:lpstr>
      <vt:lpstr>Assumptions</vt:lpstr>
      <vt:lpstr>Store info by Qtr</vt:lpstr>
      <vt:lpstr>IS by Qtr copy</vt:lpstr>
      <vt:lpstr>Assumptions copy</vt:lpstr>
      <vt:lpstr>Last three years</vt:lpstr>
      <vt:lpstr>Comp stores by year</vt:lpstr>
      <vt:lpstr>'Forecast - Summary Assumptions'!Print_Area</vt:lpstr>
      <vt:lpstr>'Forecast - Summary BS by Qtr'!Print_Area</vt:lpstr>
      <vt:lpstr>'Forecast - Summary CF by Qtr'!Print_Area</vt:lpstr>
      <vt:lpstr>'Forecast - Summary IS by Qtr'!Print_Area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Campbell</dc:creator>
  <cp:lastModifiedBy>Philip Campbell</cp:lastModifiedBy>
  <cp:lastPrinted>2017-05-06T00:03:32Z</cp:lastPrinted>
  <dcterms:created xsi:type="dcterms:W3CDTF">2017-03-30T14:11:35Z</dcterms:created>
  <dcterms:modified xsi:type="dcterms:W3CDTF">2017-06-18T16:12:51Z</dcterms:modified>
</cp:coreProperties>
</file>